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Consolidated balance sheet" sheetId="1" r:id="rId1"/>
  </sheets>
  <definedNames>
    <definedName name="_xlnm.Print_Area" localSheetId="0">'Consolidated balance sheet'!$A$1:$Q$73</definedName>
  </definedNames>
  <calcPr calcId="145621"/>
</workbook>
</file>

<file path=xl/calcChain.xml><?xml version="1.0" encoding="utf-8"?>
<calcChain xmlns="http://schemas.openxmlformats.org/spreadsheetml/2006/main">
  <c r="Q62" i="1" l="1"/>
  <c r="Q63" i="1" s="1"/>
  <c r="Q64" i="1" s="1"/>
  <c r="P62" i="1"/>
  <c r="P63" i="1" s="1"/>
  <c r="O62" i="1"/>
  <c r="O63" i="1" s="1"/>
  <c r="O64" i="1" s="1"/>
  <c r="N62" i="1"/>
  <c r="N63" i="1" s="1"/>
  <c r="N64" i="1" s="1"/>
  <c r="M62" i="1"/>
  <c r="M63" i="1" s="1"/>
  <c r="M64" i="1" s="1"/>
  <c r="L62" i="1"/>
  <c r="L63" i="1" s="1"/>
  <c r="K62" i="1"/>
  <c r="K63" i="1" s="1"/>
  <c r="K64" i="1" s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6" i="1"/>
  <c r="I56" i="1"/>
  <c r="H56" i="1"/>
  <c r="G56" i="1"/>
  <c r="G62" i="1" s="1"/>
  <c r="G63" i="1" s="1"/>
  <c r="G64" i="1" s="1"/>
  <c r="F56" i="1"/>
  <c r="E56" i="1"/>
  <c r="D56" i="1"/>
  <c r="C56" i="1"/>
  <c r="C62" i="1" s="1"/>
  <c r="B56" i="1"/>
  <c r="J54" i="1"/>
  <c r="I54" i="1"/>
  <c r="H54" i="1"/>
  <c r="H62" i="1" s="1"/>
  <c r="G54" i="1"/>
  <c r="F54" i="1"/>
  <c r="E54" i="1"/>
  <c r="D54" i="1"/>
  <c r="D62" i="1" s="1"/>
  <c r="C54" i="1"/>
  <c r="B54" i="1"/>
  <c r="J53" i="1"/>
  <c r="I53" i="1"/>
  <c r="H53" i="1"/>
  <c r="G53" i="1"/>
  <c r="F53" i="1"/>
  <c r="E53" i="1"/>
  <c r="D53" i="1"/>
  <c r="C53" i="1"/>
  <c r="B53" i="1"/>
  <c r="J52" i="1"/>
  <c r="J62" i="1" s="1"/>
  <c r="J63" i="1" s="1"/>
  <c r="I52" i="1"/>
  <c r="I62" i="1" s="1"/>
  <c r="I63" i="1" s="1"/>
  <c r="I64" i="1" s="1"/>
  <c r="H52" i="1"/>
  <c r="G52" i="1"/>
  <c r="F52" i="1"/>
  <c r="F62" i="1" s="1"/>
  <c r="F63" i="1" s="1"/>
  <c r="E52" i="1"/>
  <c r="E62" i="1" s="1"/>
  <c r="E63" i="1" s="1"/>
  <c r="E64" i="1" s="1"/>
  <c r="D52" i="1"/>
  <c r="C52" i="1"/>
  <c r="B52" i="1"/>
  <c r="B62" i="1" s="1"/>
  <c r="Q51" i="1"/>
  <c r="P51" i="1"/>
  <c r="O51" i="1"/>
  <c r="N51" i="1"/>
  <c r="M51" i="1"/>
  <c r="L51" i="1"/>
  <c r="K51" i="1"/>
  <c r="L50" i="1"/>
  <c r="K50" i="1"/>
  <c r="G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J47" i="1"/>
  <c r="J51" i="1" s="1"/>
  <c r="I47" i="1"/>
  <c r="H47" i="1"/>
  <c r="G47" i="1"/>
  <c r="F47" i="1"/>
  <c r="F51" i="1" s="1"/>
  <c r="E47" i="1"/>
  <c r="D47" i="1"/>
  <c r="C47" i="1"/>
  <c r="B47" i="1"/>
  <c r="G46" i="1"/>
  <c r="D46" i="1"/>
  <c r="C46" i="1"/>
  <c r="B46" i="1"/>
  <c r="B51" i="1" s="1"/>
  <c r="J45" i="1"/>
  <c r="I45" i="1"/>
  <c r="H45" i="1"/>
  <c r="G45" i="1"/>
  <c r="G51" i="1" s="1"/>
  <c r="F45" i="1"/>
  <c r="E45" i="1"/>
  <c r="D45" i="1"/>
  <c r="C45" i="1"/>
  <c r="C51" i="1" s="1"/>
  <c r="B45" i="1"/>
  <c r="J44" i="1"/>
  <c r="I44" i="1"/>
  <c r="H44" i="1"/>
  <c r="G44" i="1"/>
  <c r="F44" i="1"/>
  <c r="E44" i="1"/>
  <c r="D44" i="1"/>
  <c r="C44" i="1"/>
  <c r="B44" i="1"/>
  <c r="J43" i="1"/>
  <c r="I43" i="1"/>
  <c r="I51" i="1" s="1"/>
  <c r="H43" i="1"/>
  <c r="H51" i="1" s="1"/>
  <c r="G43" i="1"/>
  <c r="F43" i="1"/>
  <c r="E43" i="1"/>
  <c r="E51" i="1" s="1"/>
  <c r="D43" i="1"/>
  <c r="D51" i="1" s="1"/>
  <c r="D63" i="1" s="1"/>
  <c r="C43" i="1"/>
  <c r="B43" i="1"/>
  <c r="Q42" i="1"/>
  <c r="N42" i="1"/>
  <c r="M42" i="1"/>
  <c r="J41" i="1"/>
  <c r="I41" i="1"/>
  <c r="H41" i="1"/>
  <c r="Q40" i="1"/>
  <c r="P40" i="1"/>
  <c r="P42" i="1" s="1"/>
  <c r="O40" i="1"/>
  <c r="O42" i="1" s="1"/>
  <c r="N40" i="1"/>
  <c r="M40" i="1"/>
  <c r="L40" i="1"/>
  <c r="L42" i="1" s="1"/>
  <c r="K40" i="1"/>
  <c r="K42" i="1" s="1"/>
  <c r="H40" i="1"/>
  <c r="H42" i="1" s="1"/>
  <c r="D40" i="1"/>
  <c r="D42" i="1" s="1"/>
  <c r="J39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7" i="1"/>
  <c r="B36" i="1"/>
  <c r="J35" i="1"/>
  <c r="I35" i="1"/>
  <c r="H35" i="1"/>
  <c r="G35" i="1"/>
  <c r="G40" i="1" s="1"/>
  <c r="G42" i="1" s="1"/>
  <c r="F35" i="1"/>
  <c r="E35" i="1"/>
  <c r="D35" i="1"/>
  <c r="C35" i="1"/>
  <c r="C40" i="1" s="1"/>
  <c r="C42" i="1" s="1"/>
  <c r="B34" i="1"/>
  <c r="B33" i="1"/>
  <c r="J32" i="1"/>
  <c r="J40" i="1" s="1"/>
  <c r="J42" i="1" s="1"/>
  <c r="I32" i="1"/>
  <c r="I40" i="1" s="1"/>
  <c r="I42" i="1" s="1"/>
  <c r="H32" i="1"/>
  <c r="G32" i="1"/>
  <c r="F32" i="1"/>
  <c r="F40" i="1" s="1"/>
  <c r="F42" i="1" s="1"/>
  <c r="E32" i="1"/>
  <c r="E40" i="1" s="1"/>
  <c r="E42" i="1" s="1"/>
  <c r="D32" i="1"/>
  <c r="C32" i="1"/>
  <c r="B32" i="1"/>
  <c r="B40" i="1" s="1"/>
  <c r="B42" i="1" s="1"/>
  <c r="Q29" i="1"/>
  <c r="Q30" i="1" s="1"/>
  <c r="P29" i="1"/>
  <c r="O29" i="1"/>
  <c r="N29" i="1"/>
  <c r="M29" i="1"/>
  <c r="M30" i="1" s="1"/>
  <c r="H28" i="1"/>
  <c r="F28" i="1"/>
  <c r="D28" i="1"/>
  <c r="C28" i="1"/>
  <c r="J27" i="1"/>
  <c r="I27" i="1"/>
  <c r="H27" i="1"/>
  <c r="G27" i="1"/>
  <c r="F27" i="1"/>
  <c r="E27" i="1"/>
  <c r="D27" i="1"/>
  <c r="C27" i="1"/>
  <c r="B27" i="1"/>
  <c r="M26" i="1"/>
  <c r="H26" i="1"/>
  <c r="F26" i="1"/>
  <c r="C26" i="1"/>
  <c r="L25" i="1"/>
  <c r="L29" i="1" s="1"/>
  <c r="K25" i="1"/>
  <c r="K29" i="1" s="1"/>
  <c r="H25" i="1"/>
  <c r="F25" i="1"/>
  <c r="E25" i="1"/>
  <c r="C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N20" i="1"/>
  <c r="M20" i="1"/>
  <c r="H20" i="1"/>
  <c r="G20" i="1"/>
  <c r="F20" i="1"/>
  <c r="E20" i="1"/>
  <c r="D20" i="1"/>
  <c r="C20" i="1"/>
  <c r="B20" i="1"/>
  <c r="J19" i="1"/>
  <c r="I19" i="1"/>
  <c r="I29" i="1" s="1"/>
  <c r="H19" i="1"/>
  <c r="H29" i="1" s="1"/>
  <c r="G19" i="1"/>
  <c r="F19" i="1"/>
  <c r="E19" i="1"/>
  <c r="E29" i="1" s="1"/>
  <c r="D19" i="1"/>
  <c r="D29" i="1" s="1"/>
  <c r="C19" i="1"/>
  <c r="B19" i="1"/>
  <c r="J18" i="1"/>
  <c r="J29" i="1" s="1"/>
  <c r="I18" i="1"/>
  <c r="H18" i="1"/>
  <c r="G18" i="1"/>
  <c r="G29" i="1" s="1"/>
  <c r="F18" i="1"/>
  <c r="F29" i="1" s="1"/>
  <c r="E18" i="1"/>
  <c r="D18" i="1"/>
  <c r="C18" i="1"/>
  <c r="C29" i="1" s="1"/>
  <c r="B18" i="1"/>
  <c r="B29" i="1" s="1"/>
  <c r="Q17" i="1"/>
  <c r="P17" i="1"/>
  <c r="P30" i="1" s="1"/>
  <c r="O17" i="1"/>
  <c r="O30" i="1" s="1"/>
  <c r="N17" i="1"/>
  <c r="N30" i="1" s="1"/>
  <c r="M17" i="1"/>
  <c r="L17" i="1"/>
  <c r="K17" i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B12" i="1"/>
  <c r="J11" i="1"/>
  <c r="J17" i="1" s="1"/>
  <c r="I11" i="1"/>
  <c r="H11" i="1"/>
  <c r="G11" i="1"/>
  <c r="F11" i="1"/>
  <c r="F17" i="1" s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I8" i="1"/>
  <c r="H8" i="1"/>
  <c r="G8" i="1"/>
  <c r="F8" i="1"/>
  <c r="D8" i="1"/>
  <c r="B8" i="1"/>
  <c r="B17" i="1" s="1"/>
  <c r="J7" i="1"/>
  <c r="I7" i="1"/>
  <c r="H7" i="1"/>
  <c r="G7" i="1"/>
  <c r="G17" i="1" s="1"/>
  <c r="G30" i="1" s="1"/>
  <c r="F7" i="1"/>
  <c r="E7" i="1"/>
  <c r="D7" i="1"/>
  <c r="C7" i="1"/>
  <c r="C17" i="1" s="1"/>
  <c r="C30" i="1" s="1"/>
  <c r="B7" i="1"/>
  <c r="J6" i="1"/>
  <c r="I6" i="1"/>
  <c r="H6" i="1"/>
  <c r="G6" i="1"/>
  <c r="F6" i="1"/>
  <c r="E6" i="1"/>
  <c r="D6" i="1"/>
  <c r="C6" i="1"/>
  <c r="B6" i="1"/>
  <c r="J5" i="1"/>
  <c r="I5" i="1"/>
  <c r="I17" i="1" s="1"/>
  <c r="H5" i="1"/>
  <c r="H17" i="1" s="1"/>
  <c r="G5" i="1"/>
  <c r="F5" i="1"/>
  <c r="E5" i="1"/>
  <c r="E17" i="1" s="1"/>
  <c r="D5" i="1"/>
  <c r="D17" i="1" s="1"/>
  <c r="C5" i="1"/>
  <c r="B5" i="1"/>
  <c r="H30" i="1" l="1"/>
  <c r="L30" i="1"/>
  <c r="D30" i="1"/>
  <c r="D64" i="1"/>
  <c r="F64" i="1"/>
  <c r="J64" i="1"/>
  <c r="H63" i="1"/>
  <c r="H64" i="1" s="1"/>
  <c r="L64" i="1"/>
  <c r="P64" i="1"/>
  <c r="E30" i="1"/>
  <c r="I30" i="1"/>
  <c r="B30" i="1"/>
  <c r="F30" i="1"/>
  <c r="J30" i="1"/>
  <c r="K30" i="1"/>
  <c r="C63" i="1"/>
  <c r="C64" i="1" s="1"/>
  <c r="B63" i="1"/>
  <c r="B64" i="1" s="1"/>
</calcChain>
</file>

<file path=xl/sharedStrings.xml><?xml version="1.0" encoding="utf-8"?>
<sst xmlns="http://schemas.openxmlformats.org/spreadsheetml/2006/main" count="94" uniqueCount="76">
  <si>
    <t>CYFROWY POLSAT S.A. CAPITAL GROUP</t>
  </si>
  <si>
    <t>CONSOLIDATED BALANCE SHEET</t>
  </si>
  <si>
    <t>(in millions of PLN)</t>
  </si>
  <si>
    <t>March 31</t>
  </si>
  <si>
    <t>June 30</t>
  </si>
  <si>
    <t xml:space="preserve"> September 30</t>
  </si>
  <si>
    <t>December 31</t>
  </si>
  <si>
    <t>31 December restated 5)</t>
  </si>
  <si>
    <t xml:space="preserve">31 March </t>
  </si>
  <si>
    <t xml:space="preserve">30 June </t>
  </si>
  <si>
    <t xml:space="preserve">30 September </t>
  </si>
  <si>
    <t xml:space="preserve">31 December </t>
  </si>
  <si>
    <t>ASSETS</t>
  </si>
  <si>
    <t>Reception equipment</t>
  </si>
  <si>
    <t>Other property, plant and equipment</t>
  </si>
  <si>
    <t xml:space="preserve">Goodwill </t>
  </si>
  <si>
    <r>
      <t xml:space="preserve">Customer relationships </t>
    </r>
    <r>
      <rPr>
        <vertAlign val="superscript"/>
        <sz val="10"/>
        <color indexed="8"/>
        <rFont val="Calibri"/>
        <family val="2"/>
        <charset val="238"/>
        <scheme val="minor"/>
      </rPr>
      <t>4)</t>
    </r>
  </si>
  <si>
    <t>Brands</t>
  </si>
  <si>
    <t xml:space="preserve">Other intangible assets </t>
  </si>
  <si>
    <t>Non-current programming assets</t>
  </si>
  <si>
    <t>Investment property</t>
  </si>
  <si>
    <r>
      <t xml:space="preserve">Non-current deferred distribution fees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</si>
  <si>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1)</t>
  </si>
  <si>
    <r>
      <t xml:space="preserve">Other non-current assets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</si>
  <si>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includes derivative instruments assets</t>
  </si>
  <si>
    <t>Deferred tax assets</t>
  </si>
  <si>
    <t>Total non-current assets</t>
  </si>
  <si>
    <t>Current programming assets</t>
  </si>
  <si>
    <t>Inventories</t>
  </si>
  <si>
    <t>Loans granted to related parties</t>
  </si>
  <si>
    <r>
      <t>Trade and other receivables</t>
    </r>
    <r>
      <rPr>
        <vertAlign val="superscript"/>
        <sz val="10"/>
        <color indexed="8"/>
        <rFont val="Calibri"/>
        <family val="2"/>
        <charset val="238"/>
        <scheme val="minor"/>
      </rPr>
      <t>2)</t>
    </r>
  </si>
  <si>
    <t>Income tax receivable</t>
  </si>
  <si>
    <r>
      <t>Current deferred distribution fees</t>
    </r>
    <r>
      <rPr>
        <vertAlign val="superscript"/>
        <sz val="10"/>
        <color indexed="8"/>
        <rFont val="Calibri"/>
        <family val="2"/>
        <charset val="238"/>
        <scheme val="minor"/>
      </rPr>
      <t>1)</t>
    </r>
  </si>
  <si>
    <r>
      <t>Other current assets</t>
    </r>
    <r>
      <rPr>
        <vertAlign val="superscript"/>
        <sz val="10"/>
        <color indexed="8"/>
        <rFont val="Calibri"/>
        <family val="2"/>
        <charset val="238"/>
        <scheme val="minor"/>
      </rPr>
      <t>1)</t>
    </r>
  </si>
  <si>
    <t>Short-term deposits</t>
  </si>
  <si>
    <t>Cash and cash equivalents</t>
  </si>
  <si>
    <t>Restricted cash</t>
  </si>
  <si>
    <t>Total current assets</t>
  </si>
  <si>
    <t>TOTAL ASSETS</t>
  </si>
  <si>
    <t>EQUITY AND LIABILITIES</t>
  </si>
  <si>
    <t>Share capital</t>
  </si>
  <si>
    <t>Reserve capital</t>
  </si>
  <si>
    <t>Other reserves</t>
  </si>
  <si>
    <r>
      <t>Share premium</t>
    </r>
    <r>
      <rPr>
        <vertAlign val="superscript"/>
        <sz val="9"/>
        <color indexed="8"/>
        <rFont val="Calibri"/>
        <family val="2"/>
        <charset val="238"/>
      </rPr>
      <t>3)</t>
    </r>
  </si>
  <si>
    <t>3)</t>
  </si>
  <si>
    <t>Hedge valuation reserve</t>
  </si>
  <si>
    <t>Currency translation adjustmnet</t>
  </si>
  <si>
    <r>
      <t>Other reserves</t>
    </r>
    <r>
      <rPr>
        <vertAlign val="superscript"/>
        <sz val="9"/>
        <color indexed="8"/>
        <rFont val="Calibri"/>
        <family val="2"/>
        <charset val="238"/>
      </rPr>
      <t>3)</t>
    </r>
  </si>
  <si>
    <t>Retained earnings</t>
  </si>
  <si>
    <t>Equity attributable to equity holders of the Parent</t>
  </si>
  <si>
    <t>Non-controlling interests</t>
  </si>
  <si>
    <t>Total equity</t>
  </si>
  <si>
    <t>Loans and borrowings</t>
  </si>
  <si>
    <t>Issued bonds</t>
  </si>
  <si>
    <t>Finance lease liabilities</t>
  </si>
  <si>
    <r>
      <t>UMTS license liabilities</t>
    </r>
    <r>
      <rPr>
        <vertAlign val="superscript"/>
        <sz val="9"/>
        <color indexed="8"/>
        <rFont val="Calibri"/>
        <family val="2"/>
        <charset val="238"/>
      </rPr>
      <t>4)</t>
    </r>
  </si>
  <si>
    <t>Deferred tax liabilities</t>
  </si>
  <si>
    <r>
      <t>Deferred income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</si>
  <si>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</si>
  <si>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Other non-current liabilities and provisions</t>
  </si>
  <si>
    <t>includes derivative instruments liabilities</t>
  </si>
  <si>
    <t xml:space="preserve">Total non-current liabilities </t>
  </si>
  <si>
    <t xml:space="preserve">Trade and other payables </t>
  </si>
  <si>
    <t>Income tax liability</t>
  </si>
  <si>
    <t>Deposits for equipment</t>
  </si>
  <si>
    <t>6)</t>
  </si>
  <si>
    <r>
      <t>Deferred income</t>
    </r>
    <r>
      <rPr>
        <vertAlign val="superscript"/>
        <sz val="9"/>
        <color indexed="8"/>
        <rFont val="Calibri"/>
        <family val="2"/>
        <charset val="238"/>
      </rPr>
      <t>2)</t>
    </r>
  </si>
  <si>
    <t>Liabilities related to non-current assets held for sale</t>
  </si>
  <si>
    <t>Total current liabilities</t>
  </si>
  <si>
    <t>Total liabilities</t>
  </si>
  <si>
    <t>1) As of f June 30, 2012, the Group changed its consolidated balance sheet presentation to present long term portion of the data transfer order from Mobyland in Other non-current assets (reclassification from Other current assets). The Group also reclassified and presented Non-current deferred distribution fees and Current deferred distribution fees separately from Other non-current assets and Other current assets, respectively.</t>
  </si>
  <si>
    <t xml:space="preserve">2) As of June 30, 2012, the Group reclassified receivables and deferred income. </t>
  </si>
  <si>
    <t xml:space="preserve">3) Change in presentation from June 30, 2012. </t>
  </si>
  <si>
    <t xml:space="preserve">4) Following the provisional purchase price allocation, the Group introduced new balance sheet items as of the end of June 2014: Customer relationships and UMTS license liabilities in both current and non-current liabilities.  </t>
  </si>
  <si>
    <t>5) Restatement due to final purchase price allocation of Metelem</t>
  </si>
  <si>
    <t>6) From June 30, 2015 the item "Deposits for equipment" is accounted for in the item "Trade and other payables"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</si>
</sst>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;\(#,##0.000\);\-"/>
    <numFmt numFmtId="165" formatCode="#,##0.0;\(#,##0.0\);\-"/>
    <numFmt numFmtId="166" formatCode="_(* #,##0.00_);_(* \(#,##0.00\);_(* &quot;-&quot;??_);_(@_)"/>
    <numFmt numFmtId="167" formatCode="0.000"/>
    <numFmt numFmtId="168" formatCode="_-* #,##0.00\ [$€-1]_-;\-* #,##0.00\ [$€-1]_-;_-* &quot;-&quot;??\ [$€-1]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vertAlign val="superscript"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mediumGray">
        <fgColor rgb="FFF7A833"/>
      </patternFill>
    </fill>
    <fill>
      <patternFill patternType="mediumGray">
        <fgColor rgb="FFF7A833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0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0" borderId="0" xfId="0" applyFont="1"/>
    <xf numFmtId="0" fontId="5" fillId="2" borderId="10" xfId="0" applyFont="1" applyFill="1" applyBorder="1" applyAlignment="1">
      <alignment vertical="center"/>
    </xf>
    <xf numFmtId="0" fontId="7" fillId="2" borderId="11" xfId="0" applyFont="1" applyFill="1" applyBorder="1"/>
    <xf numFmtId="0" fontId="7" fillId="5" borderId="12" xfId="0" applyFont="1" applyFill="1" applyBorder="1"/>
    <xf numFmtId="0" fontId="7" fillId="5" borderId="11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horizontal="right"/>
    </xf>
    <xf numFmtId="0" fontId="3" fillId="2" borderId="13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5" borderId="14" xfId="0" applyNumberFormat="1" applyFont="1" applyFill="1" applyBorder="1" applyAlignment="1">
      <alignment horizontal="right" vertical="center"/>
    </xf>
    <xf numFmtId="164" fontId="7" fillId="5" borderId="0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vertical="center"/>
    </xf>
    <xf numFmtId="165" fontId="7" fillId="5" borderId="14" xfId="0" applyNumberFormat="1" applyFont="1" applyFill="1" applyBorder="1" applyAlignment="1">
      <alignment vertical="center"/>
    </xf>
    <xf numFmtId="164" fontId="8" fillId="5" borderId="14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7" fillId="5" borderId="14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4" fontId="11" fillId="2" borderId="13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left" vertical="center" indent="3"/>
    </xf>
    <xf numFmtId="164" fontId="14" fillId="2" borderId="0" xfId="0" applyNumberFormat="1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vertical="center"/>
    </xf>
    <xf numFmtId="164" fontId="14" fillId="2" borderId="13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vertical="center"/>
    </xf>
    <xf numFmtId="165" fontId="14" fillId="5" borderId="14" xfId="0" applyNumberFormat="1" applyFont="1" applyFill="1" applyBorder="1" applyAlignment="1">
      <alignment vertical="center"/>
    </xf>
    <xf numFmtId="0" fontId="14" fillId="2" borderId="0" xfId="0" applyFont="1" applyFill="1"/>
    <xf numFmtId="164" fontId="7" fillId="2" borderId="15" xfId="0" applyNumberFormat="1" applyFont="1" applyFill="1" applyBorder="1" applyAlignment="1">
      <alignment vertical="center"/>
    </xf>
    <xf numFmtId="165" fontId="7" fillId="2" borderId="15" xfId="0" applyNumberFormat="1" applyFont="1" applyFill="1" applyBorder="1" applyAlignment="1">
      <alignment vertical="center"/>
    </xf>
    <xf numFmtId="165" fontId="7" fillId="5" borderId="16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 wrapText="1"/>
    </xf>
    <xf numFmtId="164" fontId="6" fillId="7" borderId="11" xfId="0" applyNumberFormat="1" applyFont="1" applyFill="1" applyBorder="1" applyAlignment="1">
      <alignment vertical="center"/>
    </xf>
    <xf numFmtId="164" fontId="6" fillId="7" borderId="12" xfId="0" applyNumberFormat="1" applyFont="1" applyFill="1" applyBorder="1" applyAlignment="1">
      <alignment vertical="center"/>
    </xf>
    <xf numFmtId="164" fontId="6" fillId="7" borderId="10" xfId="0" applyNumberFormat="1" applyFont="1" applyFill="1" applyBorder="1" applyAlignment="1">
      <alignment vertical="center"/>
    </xf>
    <xf numFmtId="165" fontId="6" fillId="7" borderId="11" xfId="0" applyNumberFormat="1" applyFont="1" applyFill="1" applyBorder="1" applyAlignment="1">
      <alignment vertical="center"/>
    </xf>
    <xf numFmtId="165" fontId="6" fillId="7" borderId="12" xfId="0" applyNumberFormat="1" applyFont="1" applyFill="1" applyBorder="1" applyAlignment="1">
      <alignment vertical="center"/>
    </xf>
    <xf numFmtId="0" fontId="6" fillId="2" borderId="0" xfId="0" applyFont="1" applyFill="1"/>
    <xf numFmtId="164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165" fontId="7" fillId="5" borderId="6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right" vertical="center"/>
    </xf>
    <xf numFmtId="164" fontId="11" fillId="5" borderId="14" xfId="1" applyNumberFormat="1" applyFont="1" applyFill="1" applyBorder="1" applyAlignment="1">
      <alignment horizontal="right" vertical="center"/>
    </xf>
    <xf numFmtId="164" fontId="11" fillId="5" borderId="0" xfId="1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vertical="center"/>
    </xf>
    <xf numFmtId="164" fontId="6" fillId="4" borderId="9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165" fontId="6" fillId="3" borderId="8" xfId="0" applyNumberFormat="1" applyFont="1" applyFill="1" applyBorder="1" applyAlignment="1">
      <alignment vertical="center"/>
    </xf>
    <xf numFmtId="165" fontId="6" fillId="4" borderId="9" xfId="0" applyNumberFormat="1" applyFont="1" applyFill="1" applyBorder="1" applyAlignment="1">
      <alignment vertical="center"/>
    </xf>
    <xf numFmtId="165" fontId="15" fillId="3" borderId="9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7" fillId="2" borderId="11" xfId="0" applyNumberFormat="1" applyFont="1" applyFill="1" applyBorder="1"/>
    <xf numFmtId="164" fontId="7" fillId="5" borderId="12" xfId="0" applyNumberFormat="1" applyFont="1" applyFill="1" applyBorder="1"/>
    <xf numFmtId="164" fontId="7" fillId="5" borderId="11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 applyAlignment="1">
      <alignment horizontal="right"/>
    </xf>
    <xf numFmtId="165" fontId="7" fillId="5" borderId="12" xfId="0" applyNumberFormat="1" applyFont="1" applyFill="1" applyBorder="1"/>
    <xf numFmtId="165" fontId="7" fillId="2" borderId="11" xfId="0" applyNumberFormat="1" applyFont="1" applyFill="1" applyBorder="1"/>
    <xf numFmtId="165" fontId="7" fillId="5" borderId="11" xfId="0" applyNumberFormat="1" applyFont="1" applyFill="1" applyBorder="1"/>
    <xf numFmtId="164" fontId="7" fillId="2" borderId="5" xfId="0" applyNumberFormat="1" applyFont="1" applyFill="1" applyBorder="1" applyAlignment="1">
      <alignment horizontal="right" vertical="center"/>
    </xf>
    <xf numFmtId="164" fontId="7" fillId="5" borderId="6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164" fontId="11" fillId="5" borderId="14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165" fontId="11" fillId="5" borderId="14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8" fillId="5" borderId="14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horizontal="right" vertical="center"/>
    </xf>
    <xf numFmtId="165" fontId="18" fillId="5" borderId="1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167" fontId="7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/>
  </cellXfs>
  <cellStyles count="7">
    <cellStyle name="Dziesiętny" xfId="1" builtinId="3"/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C76"/>
  <sheetViews>
    <sheetView tabSelected="1" zoomScale="85" zoomScaleNormal="85" zoomScaleSheetLayoutView="85" workbookViewId="0">
      <pane xSplit="1" topLeftCell="B1" activePane="topRight" state="frozen"/>
      <selection pane="topRight" activeCell="I57" sqref="I57"/>
    </sheetView>
  </sheetViews>
  <sheetFormatPr defaultRowHeight="12.75"/>
  <cols>
    <col min="1" max="1" width="53" style="104" customWidth="1"/>
    <col min="2" max="2" width="11.5" style="15" bestFit="1" customWidth="1"/>
    <col min="3" max="3" width="12.375" style="15" bestFit="1" customWidth="1"/>
    <col min="4" max="4" width="13.625" style="15" customWidth="1"/>
    <col min="5" max="5" width="12.125" style="15" bestFit="1" customWidth="1"/>
    <col min="6" max="8" width="13.625" style="15" customWidth="1"/>
    <col min="9" max="9" width="12.125" style="15" customWidth="1"/>
    <col min="10" max="10" width="13.625" style="15" customWidth="1"/>
    <col min="11" max="12" width="13.625" style="105" customWidth="1"/>
    <col min="13" max="13" width="12.125" style="15" customWidth="1"/>
    <col min="14" max="15" width="13.625" style="15" customWidth="1"/>
    <col min="16" max="16" width="13.625" style="105" customWidth="1"/>
    <col min="17" max="17" width="13.625" style="15" customWidth="1"/>
    <col min="18" max="44" width="9" style="14"/>
    <col min="45" max="16384" width="9" style="15"/>
  </cols>
  <sheetData>
    <row r="1" spans="1:497" s="3" customFormat="1" ht="5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</row>
    <row r="2" spans="1:497" s="3" customFormat="1" ht="24.95" customHeight="1">
      <c r="A2" s="4" t="s">
        <v>1</v>
      </c>
      <c r="B2" s="5">
        <v>2012</v>
      </c>
      <c r="C2" s="5"/>
      <c r="D2" s="5"/>
      <c r="E2" s="5"/>
      <c r="F2" s="5">
        <v>2013</v>
      </c>
      <c r="G2" s="5"/>
      <c r="H2" s="5"/>
      <c r="I2" s="5"/>
      <c r="J2" s="6">
        <v>2014</v>
      </c>
      <c r="K2" s="5"/>
      <c r="L2" s="5"/>
      <c r="M2" s="7"/>
      <c r="N2" s="8">
        <v>2015</v>
      </c>
      <c r="O2" s="8"/>
      <c r="P2" s="8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</row>
    <row r="3" spans="1:497" ht="34.5" customHeight="1" thickBo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3</v>
      </c>
      <c r="G3" s="11" t="s">
        <v>4</v>
      </c>
      <c r="H3" s="11" t="s">
        <v>5</v>
      </c>
      <c r="I3" s="12" t="s">
        <v>6</v>
      </c>
      <c r="J3" s="11" t="s">
        <v>3</v>
      </c>
      <c r="K3" s="11" t="s">
        <v>4</v>
      </c>
      <c r="L3" s="11" t="s">
        <v>5</v>
      </c>
      <c r="M3" s="13" t="s">
        <v>7</v>
      </c>
      <c r="N3" s="11" t="s">
        <v>8</v>
      </c>
      <c r="O3" s="11" t="s">
        <v>9</v>
      </c>
      <c r="P3" s="11" t="s">
        <v>10</v>
      </c>
      <c r="Q3" s="12" t="s">
        <v>11</v>
      </c>
    </row>
    <row r="4" spans="1:497" s="14" customFormat="1" ht="33.75" customHeight="1" thickBot="1">
      <c r="A4" s="16" t="s">
        <v>12</v>
      </c>
      <c r="B4" s="17"/>
      <c r="C4" s="17"/>
      <c r="D4" s="17"/>
      <c r="E4" s="18"/>
      <c r="F4" s="17"/>
      <c r="G4" s="17"/>
      <c r="H4" s="17"/>
      <c r="I4" s="19"/>
      <c r="J4" s="20"/>
      <c r="K4" s="21"/>
      <c r="L4" s="21"/>
      <c r="M4" s="18"/>
      <c r="N4" s="17"/>
      <c r="O4" s="17"/>
      <c r="P4" s="21"/>
      <c r="Q4" s="19"/>
    </row>
    <row r="5" spans="1:497" s="14" customFormat="1" ht="20.100000000000001" customHeight="1">
      <c r="A5" s="22" t="s">
        <v>13</v>
      </c>
      <c r="B5" s="23">
        <f>415.308</f>
        <v>415.30799999999999</v>
      </c>
      <c r="C5" s="23">
        <f>419.479</f>
        <v>419.47899999999998</v>
      </c>
      <c r="D5" s="24">
        <f>(425068)*0.001</f>
        <v>425.06799999999998</v>
      </c>
      <c r="E5" s="25">
        <f>(420060)*0.001</f>
        <v>420.06</v>
      </c>
      <c r="F5" s="24">
        <f>(419894)*0.001</f>
        <v>419.89400000000001</v>
      </c>
      <c r="G5" s="24">
        <f>(418521)*0.001</f>
        <v>418.52100000000002</v>
      </c>
      <c r="H5" s="24">
        <f>(409736)*0.001</f>
        <v>409.73599999999999</v>
      </c>
      <c r="I5" s="26">
        <f>(407579)*0.001</f>
        <v>407.57900000000001</v>
      </c>
      <c r="J5" s="27">
        <f>(395393)*0.001</f>
        <v>395.39300000000003</v>
      </c>
      <c r="K5" s="28">
        <v>384.8</v>
      </c>
      <c r="L5" s="28">
        <v>417</v>
      </c>
      <c r="M5" s="29">
        <v>421.1</v>
      </c>
      <c r="N5" s="28">
        <v>416.6</v>
      </c>
      <c r="O5" s="28">
        <v>401.1</v>
      </c>
      <c r="P5" s="28">
        <v>377</v>
      </c>
      <c r="Q5" s="29">
        <v>371</v>
      </c>
    </row>
    <row r="6" spans="1:497" s="14" customFormat="1" ht="20.100000000000001" customHeight="1">
      <c r="A6" s="22" t="s">
        <v>14</v>
      </c>
      <c r="B6" s="23">
        <f>258.7</f>
        <v>258.7</v>
      </c>
      <c r="C6" s="23">
        <f>258.506</f>
        <v>258.50599999999997</v>
      </c>
      <c r="D6" s="24">
        <f>(257043)*0.001</f>
        <v>257.04300000000001</v>
      </c>
      <c r="E6" s="25">
        <f>(276407)*0.001</f>
        <v>276.40699999999998</v>
      </c>
      <c r="F6" s="24">
        <f>(266252)*0.001</f>
        <v>266.25200000000001</v>
      </c>
      <c r="G6" s="24">
        <f>(265011)*0.001</f>
        <v>265.01100000000002</v>
      </c>
      <c r="H6" s="24">
        <f>(252063)*0.001</f>
        <v>252.06300000000002</v>
      </c>
      <c r="I6" s="26">
        <f>(251152)*0.001</f>
        <v>251.15200000000002</v>
      </c>
      <c r="J6" s="27">
        <f>(248178)*0.001</f>
        <v>248.178</v>
      </c>
      <c r="K6" s="28">
        <v>3010.6</v>
      </c>
      <c r="L6" s="28">
        <v>2933.8</v>
      </c>
      <c r="M6" s="29">
        <v>2714.9</v>
      </c>
      <c r="N6" s="28">
        <v>2855.8</v>
      </c>
      <c r="O6" s="28">
        <v>2541.1999999999998</v>
      </c>
      <c r="P6" s="28">
        <v>2535.1999999999998</v>
      </c>
      <c r="Q6" s="29">
        <v>2548.6</v>
      </c>
    </row>
    <row r="7" spans="1:497" s="14" customFormat="1" ht="20.100000000000001" customHeight="1">
      <c r="A7" s="22" t="s">
        <v>15</v>
      </c>
      <c r="B7" s="23">
        <f>2422.989</f>
        <v>2422.989</v>
      </c>
      <c r="C7" s="23">
        <f>2575.456</f>
        <v>2575.4560000000001</v>
      </c>
      <c r="D7" s="23">
        <f>(2575456)*0.001</f>
        <v>2575.4560000000001</v>
      </c>
      <c r="E7" s="30">
        <f>(2568033)*0.001</f>
        <v>2568.0329999999999</v>
      </c>
      <c r="F7" s="23">
        <f>(2568033)*0.001</f>
        <v>2568.0329999999999</v>
      </c>
      <c r="G7" s="23">
        <f>(2568033)*0.001</f>
        <v>2568.0329999999999</v>
      </c>
      <c r="H7" s="23">
        <f>(2637594)*0.001</f>
        <v>2637.5940000000001</v>
      </c>
      <c r="I7" s="30">
        <f>(2602804)*0.001</f>
        <v>2602.8040000000001</v>
      </c>
      <c r="J7" s="23">
        <f>(2602804)*0.001</f>
        <v>2602.8040000000001</v>
      </c>
      <c r="K7" s="28">
        <v>11735.5</v>
      </c>
      <c r="L7" s="28">
        <v>11735.5</v>
      </c>
      <c r="M7" s="29">
        <v>10585.3</v>
      </c>
      <c r="N7" s="28">
        <v>10831.2</v>
      </c>
      <c r="O7" s="28">
        <v>10606.4</v>
      </c>
      <c r="P7" s="28">
        <v>10606.4</v>
      </c>
      <c r="Q7" s="29">
        <v>10606.4</v>
      </c>
    </row>
    <row r="8" spans="1:497" s="14" customFormat="1" ht="20.100000000000001" customHeight="1">
      <c r="A8" s="31" t="s">
        <v>16</v>
      </c>
      <c r="B8" s="32">
        <f>0</f>
        <v>0</v>
      </c>
      <c r="C8" s="32">
        <v>0</v>
      </c>
      <c r="D8" s="32">
        <f>0</f>
        <v>0</v>
      </c>
      <c r="E8" s="33">
        <v>0</v>
      </c>
      <c r="F8" s="32">
        <f>0</f>
        <v>0</v>
      </c>
      <c r="G8" s="32">
        <f>0</f>
        <v>0</v>
      </c>
      <c r="H8" s="32">
        <f>0</f>
        <v>0</v>
      </c>
      <c r="I8" s="34">
        <f>0</f>
        <v>0</v>
      </c>
      <c r="J8" s="35">
        <v>0</v>
      </c>
      <c r="K8" s="28">
        <v>4482</v>
      </c>
      <c r="L8" s="28">
        <v>4331.8999999999996</v>
      </c>
      <c r="M8" s="29">
        <v>4255.8</v>
      </c>
      <c r="N8" s="36">
        <v>4002.2</v>
      </c>
      <c r="O8" s="36">
        <v>3944.6</v>
      </c>
      <c r="P8" s="28">
        <v>3791.6</v>
      </c>
      <c r="Q8" s="29">
        <v>3638.5</v>
      </c>
    </row>
    <row r="9" spans="1:497" s="14" customFormat="1" ht="20.100000000000001" customHeight="1">
      <c r="A9" s="22" t="s">
        <v>17</v>
      </c>
      <c r="B9" s="23">
        <f>840</f>
        <v>840</v>
      </c>
      <c r="C9" s="24">
        <f>(840000)*0.001</f>
        <v>840</v>
      </c>
      <c r="D9" s="24">
        <f>(840000)*0.001</f>
        <v>840</v>
      </c>
      <c r="E9" s="25">
        <f>(847800)*0.001</f>
        <v>847.80000000000007</v>
      </c>
      <c r="F9" s="24">
        <f>(847800)*0.001</f>
        <v>847.80000000000007</v>
      </c>
      <c r="G9" s="24">
        <f>(847800)*0.001</f>
        <v>847.80000000000007</v>
      </c>
      <c r="H9" s="24">
        <f>(847800)*0.001</f>
        <v>847.80000000000007</v>
      </c>
      <c r="I9" s="26">
        <f>(890800)*0.001</f>
        <v>890.80000000000007</v>
      </c>
      <c r="J9" s="27">
        <f>(890800)*0.001</f>
        <v>890.80000000000007</v>
      </c>
      <c r="K9" s="28">
        <v>890.8</v>
      </c>
      <c r="L9" s="28">
        <v>890.8</v>
      </c>
      <c r="M9" s="29">
        <v>2085.9</v>
      </c>
      <c r="N9" s="28">
        <v>1783.7</v>
      </c>
      <c r="O9" s="28">
        <v>2092.6999999999998</v>
      </c>
      <c r="P9" s="28">
        <v>2086.6</v>
      </c>
      <c r="Q9" s="29">
        <v>2080.6</v>
      </c>
    </row>
    <row r="10" spans="1:497" s="14" customFormat="1" ht="20.100000000000001" customHeight="1">
      <c r="A10" s="22" t="s">
        <v>18</v>
      </c>
      <c r="B10" s="23">
        <f>69.466</f>
        <v>69.465999999999994</v>
      </c>
      <c r="C10" s="24">
        <f>(69627)*0.001</f>
        <v>69.626999999999995</v>
      </c>
      <c r="D10" s="24">
        <f>(68459)*0.001</f>
        <v>68.459000000000003</v>
      </c>
      <c r="E10" s="25">
        <f>(81380)*0.001</f>
        <v>81.38</v>
      </c>
      <c r="F10" s="24">
        <f>(82841)*0.001</f>
        <v>82.841000000000008</v>
      </c>
      <c r="G10" s="24">
        <f>(83804)*0.001</f>
        <v>83.804000000000002</v>
      </c>
      <c r="H10" s="24">
        <f>(115337)*0.001</f>
        <v>115.337</v>
      </c>
      <c r="I10" s="26">
        <f>(137401)*0.001</f>
        <v>137.40100000000001</v>
      </c>
      <c r="J10" s="27">
        <f>(136697)*0.001</f>
        <v>136.697</v>
      </c>
      <c r="K10" s="28">
        <v>2360.6</v>
      </c>
      <c r="L10" s="28">
        <v>2624.2</v>
      </c>
      <c r="M10" s="29">
        <v>2591.4</v>
      </c>
      <c r="N10" s="28">
        <v>2527.5</v>
      </c>
      <c r="O10" s="28">
        <v>2525.8000000000002</v>
      </c>
      <c r="P10" s="28">
        <v>2464.1999999999998</v>
      </c>
      <c r="Q10" s="29">
        <v>2422.1999999999998</v>
      </c>
    </row>
    <row r="11" spans="1:497" s="14" customFormat="1" ht="20.100000000000001" customHeight="1">
      <c r="A11" s="22" t="s">
        <v>19</v>
      </c>
      <c r="B11" s="23">
        <f>91.415</f>
        <v>91.415000000000006</v>
      </c>
      <c r="C11" s="24">
        <f>(95405)*0.001</f>
        <v>95.405000000000001</v>
      </c>
      <c r="D11" s="24">
        <f>(95323)*0.001</f>
        <v>95.323000000000008</v>
      </c>
      <c r="E11" s="25">
        <f>(97988)*0.001</f>
        <v>97.988</v>
      </c>
      <c r="F11" s="24">
        <f>(104074)*0.001</f>
        <v>104.074</v>
      </c>
      <c r="G11" s="24">
        <f>(115904)*0.001</f>
        <v>115.904</v>
      </c>
      <c r="H11" s="24">
        <f>(82162)*0.001</f>
        <v>82.162000000000006</v>
      </c>
      <c r="I11" s="26">
        <f>(71571)*0.001</f>
        <v>71.570999999999998</v>
      </c>
      <c r="J11" s="27">
        <f>(107548)*0.001</f>
        <v>107.548</v>
      </c>
      <c r="K11" s="28">
        <v>128.1</v>
      </c>
      <c r="L11" s="28">
        <v>148.80000000000001</v>
      </c>
      <c r="M11" s="29">
        <v>135.80000000000001</v>
      </c>
      <c r="N11" s="28">
        <v>158.69999999999999</v>
      </c>
      <c r="O11" s="28">
        <v>174.6</v>
      </c>
      <c r="P11" s="28">
        <v>109</v>
      </c>
      <c r="Q11" s="29">
        <v>145</v>
      </c>
    </row>
    <row r="12" spans="1:497" s="14" customFormat="1" ht="20.100000000000001" customHeight="1">
      <c r="A12" s="22" t="s">
        <v>20</v>
      </c>
      <c r="B12" s="23">
        <f>8.419</f>
        <v>8.4190000000000005</v>
      </c>
      <c r="C12" s="24">
        <f>(8398)*0.001</f>
        <v>8.3979999999999997</v>
      </c>
      <c r="D12" s="24">
        <f>(8378)*0.001</f>
        <v>8.3780000000000001</v>
      </c>
      <c r="E12" s="25">
        <f>(8357)*0.001</f>
        <v>8.3569999999999993</v>
      </c>
      <c r="F12" s="24">
        <f>(8336)*0.001</f>
        <v>8.3360000000000003</v>
      </c>
      <c r="G12" s="24">
        <f>(7788)*0.001</f>
        <v>7.7880000000000003</v>
      </c>
      <c r="H12" s="24">
        <f>(7427)*0.001</f>
        <v>7.4270000000000005</v>
      </c>
      <c r="I12" s="26">
        <f>(5330)*0.001</f>
        <v>5.33</v>
      </c>
      <c r="J12" s="27">
        <f>(5315)*0.001</f>
        <v>5.3150000000000004</v>
      </c>
      <c r="K12" s="28">
        <v>5.3</v>
      </c>
      <c r="L12" s="28">
        <v>5.3</v>
      </c>
      <c r="M12" s="29">
        <v>5.3</v>
      </c>
      <c r="N12" s="28">
        <v>5.2</v>
      </c>
      <c r="O12" s="28">
        <v>5.2</v>
      </c>
      <c r="P12" s="28">
        <v>5.2</v>
      </c>
      <c r="Q12" s="29">
        <v>5.2</v>
      </c>
    </row>
    <row r="13" spans="1:497" s="14" customFormat="1" ht="20.100000000000001" customHeight="1">
      <c r="A13" s="22" t="s">
        <v>21</v>
      </c>
      <c r="B13" s="37" t="s">
        <v>22</v>
      </c>
      <c r="C13" s="24">
        <f>(33259)*0.001</f>
        <v>33.259</v>
      </c>
      <c r="D13" s="24">
        <f>(33252)*0.001</f>
        <v>33.252000000000002</v>
      </c>
      <c r="E13" s="25">
        <f>(35125)*0.001</f>
        <v>35.125</v>
      </c>
      <c r="F13" s="24">
        <f>(34399)*0.001</f>
        <v>34.399000000000001</v>
      </c>
      <c r="G13" s="24">
        <f>(32935)*0.001</f>
        <v>32.935000000000002</v>
      </c>
      <c r="H13" s="24">
        <f>(29318)*0.001</f>
        <v>29.318000000000001</v>
      </c>
      <c r="I13" s="26">
        <f>(29551)*0.001</f>
        <v>29.551000000000002</v>
      </c>
      <c r="J13" s="27">
        <f>(26502)*0.001</f>
        <v>26.501999999999999</v>
      </c>
      <c r="K13" s="28">
        <v>46.2</v>
      </c>
      <c r="L13" s="28">
        <v>67</v>
      </c>
      <c r="M13" s="29">
        <v>81</v>
      </c>
      <c r="N13" s="28">
        <v>84.1</v>
      </c>
      <c r="O13" s="28">
        <v>82.3</v>
      </c>
      <c r="P13" s="28">
        <v>81.2</v>
      </c>
      <c r="Q13" s="29">
        <v>83.3</v>
      </c>
    </row>
    <row r="14" spans="1:497" s="14" customFormat="1" ht="20.100000000000001" customHeight="1">
      <c r="A14" s="22" t="s">
        <v>23</v>
      </c>
      <c r="B14" s="23">
        <f>92.159</f>
        <v>92.159000000000006</v>
      </c>
      <c r="C14" s="24">
        <f>(84770)*0.001</f>
        <v>84.77</v>
      </c>
      <c r="D14" s="24">
        <f>(116704)*0.001</f>
        <v>116.70400000000001</v>
      </c>
      <c r="E14" s="25">
        <f>(109642)*0.001</f>
        <v>109.642</v>
      </c>
      <c r="F14" s="24">
        <f>(62960)*0.001</f>
        <v>62.96</v>
      </c>
      <c r="G14" s="24">
        <f>(61422)*0.001</f>
        <v>61.422000000000004</v>
      </c>
      <c r="H14" s="24">
        <f>(27107)*0.001</f>
        <v>27.106999999999999</v>
      </c>
      <c r="I14" s="26">
        <f>(20803)*0.001</f>
        <v>20.803000000000001</v>
      </c>
      <c r="J14" s="27">
        <f>(6430)*0.001</f>
        <v>6.43</v>
      </c>
      <c r="K14" s="28">
        <v>107.4</v>
      </c>
      <c r="L14" s="28">
        <v>141.4</v>
      </c>
      <c r="M14" s="29">
        <v>198.5</v>
      </c>
      <c r="N14" s="28">
        <v>238</v>
      </c>
      <c r="O14" s="28">
        <v>232.8</v>
      </c>
      <c r="P14" s="28">
        <v>232.7</v>
      </c>
      <c r="Q14" s="29">
        <v>272.8</v>
      </c>
    </row>
    <row r="15" spans="1:497" s="45" customFormat="1" ht="20.100000000000001" customHeight="1">
      <c r="A15" s="38" t="s">
        <v>24</v>
      </c>
      <c r="B15" s="39">
        <v>0</v>
      </c>
      <c r="C15" s="39">
        <v>0</v>
      </c>
      <c r="D15" s="39">
        <v>0</v>
      </c>
      <c r="E15" s="40">
        <v>0</v>
      </c>
      <c r="F15" s="39">
        <v>0</v>
      </c>
      <c r="G15" s="39">
        <v>0</v>
      </c>
      <c r="H15" s="39">
        <v>0</v>
      </c>
      <c r="I15" s="41">
        <v>0</v>
      </c>
      <c r="J15" s="42">
        <v>0</v>
      </c>
      <c r="K15" s="43">
        <v>0</v>
      </c>
      <c r="L15" s="43">
        <v>0</v>
      </c>
      <c r="M15" s="44">
        <v>1.2</v>
      </c>
      <c r="N15" s="43">
        <v>0</v>
      </c>
      <c r="O15" s="43">
        <v>0</v>
      </c>
      <c r="P15" s="43">
        <v>0</v>
      </c>
      <c r="Q15" s="44">
        <v>6.9</v>
      </c>
    </row>
    <row r="16" spans="1:497" s="14" customFormat="1" ht="20.100000000000001" customHeight="1" thickBot="1">
      <c r="A16" s="22" t="s">
        <v>25</v>
      </c>
      <c r="B16" s="46">
        <f>30.5</f>
        <v>30.5</v>
      </c>
      <c r="C16" s="24">
        <f>(40245)*0.001</f>
        <v>40.244999999999997</v>
      </c>
      <c r="D16" s="24">
        <f>(37018)*0.001</f>
        <v>37.018000000000001</v>
      </c>
      <c r="E16" s="25">
        <f>(31356)*0.001</f>
        <v>31.356000000000002</v>
      </c>
      <c r="F16" s="24">
        <f>(30260)*0.001</f>
        <v>30.26</v>
      </c>
      <c r="G16" s="24">
        <f>(27326)*0.001</f>
        <v>27.326000000000001</v>
      </c>
      <c r="H16" s="24">
        <f>(27552)*0.001</f>
        <v>27.552</v>
      </c>
      <c r="I16" s="26">
        <f>(38854)*0.001</f>
        <v>38.853999999999999</v>
      </c>
      <c r="J16" s="27">
        <f>(34685)*0.001</f>
        <v>34.685000000000002</v>
      </c>
      <c r="K16" s="47">
        <v>240.5</v>
      </c>
      <c r="L16" s="47">
        <v>285.7</v>
      </c>
      <c r="M16" s="48">
        <v>281.10000000000002</v>
      </c>
      <c r="N16" s="47">
        <v>229</v>
      </c>
      <c r="O16" s="47">
        <v>260.89999999999998</v>
      </c>
      <c r="P16" s="47">
        <v>107.2</v>
      </c>
      <c r="Q16" s="48">
        <v>87.6</v>
      </c>
    </row>
    <row r="17" spans="1:17" s="55" customFormat="1" ht="24.95" customHeight="1" thickBot="1">
      <c r="A17" s="49" t="s">
        <v>26</v>
      </c>
      <c r="B17" s="50">
        <f t="shared" ref="B17:I17" si="0">(SUM(B5:B16))</f>
        <v>4228.9560000000001</v>
      </c>
      <c r="C17" s="50">
        <f t="shared" si="0"/>
        <v>4425.1450000000004</v>
      </c>
      <c r="D17" s="50">
        <f t="shared" si="0"/>
        <v>4456.701</v>
      </c>
      <c r="E17" s="51">
        <f t="shared" si="0"/>
        <v>4476.1480000000001</v>
      </c>
      <c r="F17" s="50">
        <f t="shared" si="0"/>
        <v>4424.8490000000011</v>
      </c>
      <c r="G17" s="50">
        <f t="shared" si="0"/>
        <v>4428.5439999999999</v>
      </c>
      <c r="H17" s="50">
        <f t="shared" si="0"/>
        <v>4436.0960000000005</v>
      </c>
      <c r="I17" s="50">
        <f t="shared" si="0"/>
        <v>4455.8450000000003</v>
      </c>
      <c r="J17" s="52">
        <f>(SUM(J5:J16))</f>
        <v>4454.3520000000008</v>
      </c>
      <c r="K17" s="53">
        <f t="shared" ref="K17:L17" si="1">SUM(K5:K16)</f>
        <v>23391.8</v>
      </c>
      <c r="L17" s="53">
        <f t="shared" si="1"/>
        <v>23581.399999999998</v>
      </c>
      <c r="M17" s="54">
        <f>(SUM(M5:M16))-M15</f>
        <v>23356.1</v>
      </c>
      <c r="N17" s="53">
        <f>(SUM(N5:N16))-N15</f>
        <v>23132</v>
      </c>
      <c r="O17" s="53">
        <f>(SUM(O5:O16))-O15</f>
        <v>22867.599999999999</v>
      </c>
      <c r="P17" s="53">
        <f>(SUM(P5:P16))-P15</f>
        <v>22396.3</v>
      </c>
      <c r="Q17" s="54">
        <f>(SUM(Q5:Q16))-Q15</f>
        <v>22261.199999999997</v>
      </c>
    </row>
    <row r="18" spans="1:17" s="55" customFormat="1" ht="20.100000000000001" customHeight="1">
      <c r="A18" s="22" t="s">
        <v>27</v>
      </c>
      <c r="B18" s="56">
        <f>176.114</f>
        <v>176.114</v>
      </c>
      <c r="C18" s="24">
        <f>(167251)*0.001</f>
        <v>167.251</v>
      </c>
      <c r="D18" s="24">
        <f>(171461)*0.001</f>
        <v>171.46100000000001</v>
      </c>
      <c r="E18" s="25">
        <f>(141652)*0.001</f>
        <v>141.65200000000002</v>
      </c>
      <c r="F18" s="24">
        <f>(155399)*0.001</f>
        <v>155.399</v>
      </c>
      <c r="G18" s="24">
        <f>(170743)*0.001</f>
        <v>170.74299999999999</v>
      </c>
      <c r="H18" s="24">
        <f>(208533)*0.001</f>
        <v>208.53300000000002</v>
      </c>
      <c r="I18" s="26">
        <f>(181341)*0.001</f>
        <v>181.34100000000001</v>
      </c>
      <c r="J18" s="27">
        <f>(228936)*0.001</f>
        <v>228.93600000000001</v>
      </c>
      <c r="K18" s="57">
        <v>199.1</v>
      </c>
      <c r="L18" s="57">
        <v>172.6</v>
      </c>
      <c r="M18" s="58">
        <v>152.1</v>
      </c>
      <c r="N18" s="57">
        <v>163.1</v>
      </c>
      <c r="O18" s="57">
        <v>170.4</v>
      </c>
      <c r="P18" s="57">
        <v>255.6</v>
      </c>
      <c r="Q18" s="58">
        <v>192.2</v>
      </c>
    </row>
    <row r="19" spans="1:17" s="14" customFormat="1" ht="20.100000000000001" customHeight="1">
      <c r="A19" s="22" t="s">
        <v>28</v>
      </c>
      <c r="B19" s="23">
        <f>185.376</f>
        <v>185.376</v>
      </c>
      <c r="C19" s="24">
        <f>(185528)*0.001</f>
        <v>185.52799999999999</v>
      </c>
      <c r="D19" s="24">
        <f>(177054)*0.001</f>
        <v>177.054</v>
      </c>
      <c r="E19" s="25">
        <f>(161974)*0.001</f>
        <v>161.97399999999999</v>
      </c>
      <c r="F19" s="24">
        <f>(150701)*0.001</f>
        <v>150.70099999999999</v>
      </c>
      <c r="G19" s="24">
        <f>(157445)*0.001</f>
        <v>157.44499999999999</v>
      </c>
      <c r="H19" s="24">
        <f>(155698)*0.001</f>
        <v>155.69800000000001</v>
      </c>
      <c r="I19" s="26">
        <f>(146771)*0.001</f>
        <v>146.77100000000002</v>
      </c>
      <c r="J19" s="27">
        <f>(163072)*0.001</f>
        <v>163.072</v>
      </c>
      <c r="K19" s="28">
        <v>343.8</v>
      </c>
      <c r="L19" s="28">
        <v>316.60000000000002</v>
      </c>
      <c r="M19" s="29">
        <v>301.39999999999998</v>
      </c>
      <c r="N19" s="28">
        <v>252.9</v>
      </c>
      <c r="O19" s="28">
        <v>261.7</v>
      </c>
      <c r="P19" s="28">
        <v>264.10000000000002</v>
      </c>
      <c r="Q19" s="29">
        <v>281</v>
      </c>
    </row>
    <row r="20" spans="1:17" s="14" customFormat="1" ht="20.100000000000001" customHeight="1">
      <c r="A20" s="22" t="s">
        <v>29</v>
      </c>
      <c r="B20" s="23">
        <f>1.102</f>
        <v>1.1020000000000001</v>
      </c>
      <c r="C20" s="32">
        <f>0</f>
        <v>0</v>
      </c>
      <c r="D20" s="32">
        <f>0</f>
        <v>0</v>
      </c>
      <c r="E20" s="33">
        <f>0</f>
        <v>0</v>
      </c>
      <c r="F20" s="32">
        <f>0</f>
        <v>0</v>
      </c>
      <c r="G20" s="32">
        <f>0</f>
        <v>0</v>
      </c>
      <c r="H20" s="32">
        <f>0</f>
        <v>0</v>
      </c>
      <c r="I20" s="34">
        <v>0</v>
      </c>
      <c r="J20" s="35">
        <v>0</v>
      </c>
      <c r="K20" s="59">
        <v>0</v>
      </c>
      <c r="L20" s="59">
        <v>0</v>
      </c>
      <c r="M20" s="29">
        <f>0*($A$75)</f>
        <v>0</v>
      </c>
      <c r="N20" s="36">
        <f>0*($A$75)</f>
        <v>0</v>
      </c>
      <c r="O20" s="36">
        <v>0</v>
      </c>
      <c r="P20" s="59">
        <v>0</v>
      </c>
      <c r="Q20" s="29">
        <v>0</v>
      </c>
    </row>
    <row r="21" spans="1:17" s="14" customFormat="1" ht="20.100000000000001" customHeight="1">
      <c r="A21" s="22" t="s">
        <v>30</v>
      </c>
      <c r="B21" s="23">
        <f>342.386</f>
        <v>342.38600000000002</v>
      </c>
      <c r="C21" s="24">
        <f>(382365)*0.001</f>
        <v>382.36500000000001</v>
      </c>
      <c r="D21" s="24">
        <f>(376949)*0.001</f>
        <v>376.94900000000001</v>
      </c>
      <c r="E21" s="25">
        <f>(375659)*0.001</f>
        <v>375.65899999999999</v>
      </c>
      <c r="F21" s="24">
        <f>(403593)*0.001</f>
        <v>403.59300000000002</v>
      </c>
      <c r="G21" s="24">
        <f>(410902)*0.001</f>
        <v>410.90199999999999</v>
      </c>
      <c r="H21" s="24">
        <f>(401503)*0.001</f>
        <v>401.50299999999999</v>
      </c>
      <c r="I21" s="26">
        <f>(374424)*0.001</f>
        <v>374.42400000000004</v>
      </c>
      <c r="J21" s="27">
        <f>(398589)*0.001</f>
        <v>398.589</v>
      </c>
      <c r="K21" s="28">
        <v>1374.4</v>
      </c>
      <c r="L21" s="28">
        <v>1369.9</v>
      </c>
      <c r="M21" s="29">
        <v>1453.4</v>
      </c>
      <c r="N21" s="28">
        <v>1599.5</v>
      </c>
      <c r="O21" s="28">
        <v>1988.6</v>
      </c>
      <c r="P21" s="28">
        <v>1699.4</v>
      </c>
      <c r="Q21" s="29">
        <v>1619.1</v>
      </c>
    </row>
    <row r="22" spans="1:17" s="14" customFormat="1" ht="20.100000000000001" customHeight="1">
      <c r="A22" s="22" t="s">
        <v>31</v>
      </c>
      <c r="B22" s="23">
        <f>9.894</f>
        <v>9.8940000000000001</v>
      </c>
      <c r="C22" s="24">
        <f>(263)*0.001</f>
        <v>0.26300000000000001</v>
      </c>
      <c r="D22" s="24">
        <f>(321)*0.001</f>
        <v>0.32100000000000001</v>
      </c>
      <c r="E22" s="25">
        <f>(6494)*0.001</f>
        <v>6.4939999999999998</v>
      </c>
      <c r="F22" s="24">
        <f>(1372)*0.001</f>
        <v>1.3720000000000001</v>
      </c>
      <c r="G22" s="24">
        <f>(1952)*0.001</f>
        <v>1.952</v>
      </c>
      <c r="H22" s="24">
        <f>(1195)*0.001</f>
        <v>1.1950000000000001</v>
      </c>
      <c r="I22" s="26">
        <f>(183)*0.001</f>
        <v>0.183</v>
      </c>
      <c r="J22" s="27">
        <f>(365)*0.001</f>
        <v>0.36499999999999999</v>
      </c>
      <c r="K22" s="28">
        <v>28</v>
      </c>
      <c r="L22" s="28">
        <v>26</v>
      </c>
      <c r="M22" s="29">
        <v>26</v>
      </c>
      <c r="N22" s="28">
        <v>28.9</v>
      </c>
      <c r="O22" s="28">
        <v>1.5</v>
      </c>
      <c r="P22" s="28">
        <v>0.7</v>
      </c>
      <c r="Q22" s="29">
        <v>0.7</v>
      </c>
    </row>
    <row r="23" spans="1:17" s="14" customFormat="1" ht="20.100000000000001" customHeight="1">
      <c r="A23" s="22" t="s">
        <v>32</v>
      </c>
      <c r="B23" s="37" t="s">
        <v>22</v>
      </c>
      <c r="C23" s="24">
        <f>(53916)*0.001</f>
        <v>53.916000000000004</v>
      </c>
      <c r="D23" s="24">
        <f>(54038)*0.001</f>
        <v>54.038000000000004</v>
      </c>
      <c r="E23" s="25">
        <f>(57096)*0.001</f>
        <v>57.096000000000004</v>
      </c>
      <c r="F23" s="24">
        <f>(60035)*0.001</f>
        <v>60.035000000000004</v>
      </c>
      <c r="G23" s="24">
        <f>(63564)*0.001</f>
        <v>63.564</v>
      </c>
      <c r="H23" s="24">
        <f>(65852)*0.001</f>
        <v>65.852000000000004</v>
      </c>
      <c r="I23" s="26">
        <f>(70055)*0.001</f>
        <v>70.055000000000007</v>
      </c>
      <c r="J23" s="27">
        <f>(70958)*0.001</f>
        <v>70.957999999999998</v>
      </c>
      <c r="K23" s="28">
        <v>91.2</v>
      </c>
      <c r="L23" s="28">
        <v>117.3</v>
      </c>
      <c r="M23" s="29">
        <v>141.69999999999999</v>
      </c>
      <c r="N23" s="28">
        <v>165.3</v>
      </c>
      <c r="O23" s="28">
        <v>186.1</v>
      </c>
      <c r="P23" s="28">
        <v>200.4</v>
      </c>
      <c r="Q23" s="29">
        <v>212.7</v>
      </c>
    </row>
    <row r="24" spans="1:17" s="14" customFormat="1" ht="20.100000000000001" customHeight="1">
      <c r="A24" s="22" t="s">
        <v>33</v>
      </c>
      <c r="B24" s="23">
        <f>136.299</f>
        <v>136.29900000000001</v>
      </c>
      <c r="C24" s="24">
        <f>(73814)*0.001</f>
        <v>73.814000000000007</v>
      </c>
      <c r="D24" s="24">
        <f>(53239)*0.001</f>
        <v>53.239000000000004</v>
      </c>
      <c r="E24" s="25">
        <f>(71968)*0.001</f>
        <v>71.968000000000004</v>
      </c>
      <c r="F24" s="24">
        <f>(109187)*0.001</f>
        <v>109.187</v>
      </c>
      <c r="G24" s="24">
        <f>(93754)*0.001</f>
        <v>93.754000000000005</v>
      </c>
      <c r="H24" s="24">
        <f>(113708)*0.001</f>
        <v>113.708</v>
      </c>
      <c r="I24" s="26">
        <f>(105360)*0.001</f>
        <v>105.36</v>
      </c>
      <c r="J24" s="27">
        <f>(106732)*0.001</f>
        <v>106.732</v>
      </c>
      <c r="K24" s="28">
        <v>221.9</v>
      </c>
      <c r="L24" s="28">
        <v>224.2</v>
      </c>
      <c r="M24" s="29">
        <v>160.1</v>
      </c>
      <c r="N24" s="28">
        <v>212.9</v>
      </c>
      <c r="O24" s="28">
        <v>226.2</v>
      </c>
      <c r="P24" s="28">
        <v>255</v>
      </c>
      <c r="Q24" s="29">
        <v>399.5</v>
      </c>
    </row>
    <row r="25" spans="1:17" s="45" customFormat="1" ht="20.100000000000001" customHeight="1">
      <c r="A25" s="38" t="s">
        <v>24</v>
      </c>
      <c r="B25" s="32">
        <v>0</v>
      </c>
      <c r="C25" s="32">
        <f>0</f>
        <v>0</v>
      </c>
      <c r="D25" s="32">
        <v>0</v>
      </c>
      <c r="E25" s="60">
        <f>0</f>
        <v>0</v>
      </c>
      <c r="F25" s="32">
        <f>0</f>
        <v>0</v>
      </c>
      <c r="G25" s="32">
        <v>0</v>
      </c>
      <c r="H25" s="32">
        <f>0</f>
        <v>0</v>
      </c>
      <c r="I25" s="61">
        <v>0</v>
      </c>
      <c r="J25" s="35">
        <v>0</v>
      </c>
      <c r="K25" s="36">
        <f t="shared" ref="K25:L25" si="2">0*($A$75)</f>
        <v>0</v>
      </c>
      <c r="L25" s="36">
        <f t="shared" si="2"/>
        <v>0</v>
      </c>
      <c r="M25" s="44">
        <v>22.2</v>
      </c>
      <c r="N25" s="43">
        <v>26.3</v>
      </c>
      <c r="O25" s="43">
        <v>27.3</v>
      </c>
      <c r="P25" s="43">
        <v>3.8</v>
      </c>
      <c r="Q25" s="44">
        <v>10.5</v>
      </c>
    </row>
    <row r="26" spans="1:17" s="14" customFormat="1" ht="20.100000000000001" customHeight="1">
      <c r="A26" s="22" t="s">
        <v>34</v>
      </c>
      <c r="B26" s="32">
        <v>0</v>
      </c>
      <c r="C26" s="32">
        <f>0</f>
        <v>0</v>
      </c>
      <c r="D26" s="32">
        <v>0</v>
      </c>
      <c r="E26" s="33">
        <v>0</v>
      </c>
      <c r="F26" s="32">
        <f>0</f>
        <v>0</v>
      </c>
      <c r="G26" s="32">
        <v>0</v>
      </c>
      <c r="H26" s="32">
        <f>0</f>
        <v>0</v>
      </c>
      <c r="I26" s="34">
        <v>0</v>
      </c>
      <c r="J26" s="35">
        <v>0</v>
      </c>
      <c r="K26" s="59">
        <v>270</v>
      </c>
      <c r="L26" s="59">
        <v>30</v>
      </c>
      <c r="M26" s="29">
        <f>0*($A$75)</f>
        <v>0</v>
      </c>
      <c r="N26" s="28">
        <v>42.7</v>
      </c>
      <c r="O26" s="28">
        <v>43.1</v>
      </c>
      <c r="P26" s="28">
        <v>0</v>
      </c>
      <c r="Q26" s="29">
        <v>0</v>
      </c>
    </row>
    <row r="27" spans="1:17" s="14" customFormat="1" ht="20.100000000000001" customHeight="1">
      <c r="A27" s="22" t="s">
        <v>35</v>
      </c>
      <c r="B27" s="23">
        <f>422.627</f>
        <v>422.62700000000001</v>
      </c>
      <c r="C27" s="24">
        <f>(309519)*0.001</f>
        <v>309.51900000000001</v>
      </c>
      <c r="D27" s="24">
        <f>(225111)*0.001</f>
        <v>225.11100000000002</v>
      </c>
      <c r="E27" s="25">
        <f>(270354)*0.001</f>
        <v>270.35399999999998</v>
      </c>
      <c r="F27" s="24">
        <f>(324338)*0.001</f>
        <v>324.33800000000002</v>
      </c>
      <c r="G27" s="24">
        <f>(265803)*0.001</f>
        <v>265.803</v>
      </c>
      <c r="H27" s="24">
        <f>(215396)*0.001</f>
        <v>215.39600000000002</v>
      </c>
      <c r="I27" s="26">
        <f>(342251)*0.001</f>
        <v>342.25100000000003</v>
      </c>
      <c r="J27" s="27">
        <f>(428190)*0.001</f>
        <v>428.19</v>
      </c>
      <c r="K27" s="28">
        <v>1894.3</v>
      </c>
      <c r="L27" s="28">
        <v>1631</v>
      </c>
      <c r="M27" s="29">
        <v>1735.3</v>
      </c>
      <c r="N27" s="28">
        <v>1478.9</v>
      </c>
      <c r="O27" s="28">
        <v>1383.8</v>
      </c>
      <c r="P27" s="28">
        <v>1059.5999999999999</v>
      </c>
      <c r="Q27" s="29">
        <v>1512</v>
      </c>
    </row>
    <row r="28" spans="1:17" s="14" customFormat="1" ht="20.100000000000001" customHeight="1" thickBot="1">
      <c r="A28" s="22" t="s">
        <v>36</v>
      </c>
      <c r="B28" s="32">
        <v>0</v>
      </c>
      <c r="C28" s="32">
        <f>0</f>
        <v>0</v>
      </c>
      <c r="D28" s="32">
        <f>0</f>
        <v>0</v>
      </c>
      <c r="E28" s="33">
        <v>0</v>
      </c>
      <c r="F28" s="32">
        <f>0</f>
        <v>0</v>
      </c>
      <c r="G28" s="32">
        <v>0</v>
      </c>
      <c r="H28" s="32">
        <f>0</f>
        <v>0</v>
      </c>
      <c r="I28" s="34">
        <v>0</v>
      </c>
      <c r="J28" s="35">
        <v>0</v>
      </c>
      <c r="K28" s="59">
        <v>12.6</v>
      </c>
      <c r="L28" s="59">
        <v>12.2</v>
      </c>
      <c r="M28" s="29">
        <v>12.6</v>
      </c>
      <c r="N28" s="28">
        <v>12.7</v>
      </c>
      <c r="O28" s="28">
        <v>12.8</v>
      </c>
      <c r="P28" s="59">
        <v>12.4</v>
      </c>
      <c r="Q28" s="29">
        <v>11.7</v>
      </c>
    </row>
    <row r="29" spans="1:17" s="55" customFormat="1" ht="24.95" customHeight="1" thickBot="1">
      <c r="A29" s="49" t="s">
        <v>37</v>
      </c>
      <c r="B29" s="50">
        <f t="shared" ref="B29:L29" si="3">SUM(B18:B28)</f>
        <v>1273.798</v>
      </c>
      <c r="C29" s="50">
        <f t="shared" si="3"/>
        <v>1172.6559999999999</v>
      </c>
      <c r="D29" s="50">
        <f t="shared" si="3"/>
        <v>1058.173</v>
      </c>
      <c r="E29" s="51">
        <f t="shared" si="3"/>
        <v>1085.1969999999999</v>
      </c>
      <c r="F29" s="50">
        <f t="shared" si="3"/>
        <v>1204.625</v>
      </c>
      <c r="G29" s="50">
        <f t="shared" si="3"/>
        <v>1164.163</v>
      </c>
      <c r="H29" s="50">
        <f t="shared" si="3"/>
        <v>1161.885</v>
      </c>
      <c r="I29" s="50">
        <f t="shared" si="3"/>
        <v>1220.3850000000002</v>
      </c>
      <c r="J29" s="52">
        <f t="shared" si="3"/>
        <v>1396.8419999999999</v>
      </c>
      <c r="K29" s="53">
        <f t="shared" si="3"/>
        <v>4435.3</v>
      </c>
      <c r="L29" s="53">
        <f t="shared" si="3"/>
        <v>3899.7999999999997</v>
      </c>
      <c r="M29" s="54">
        <f>SUM(M18:M28)-M25</f>
        <v>3982.6</v>
      </c>
      <c r="N29" s="53">
        <f>SUM(N18:N28)-N25</f>
        <v>3956.9</v>
      </c>
      <c r="O29" s="53">
        <f>SUM(O18:O28)-O25</f>
        <v>4274.2</v>
      </c>
      <c r="P29" s="53">
        <f>SUM(P18:P28)-P25</f>
        <v>3747.2000000000003</v>
      </c>
      <c r="Q29" s="54">
        <f>SUM(Q18:Q28)-Q25</f>
        <v>4228.8999999999987</v>
      </c>
    </row>
    <row r="30" spans="1:17" s="14" customFormat="1" ht="24.95" customHeight="1" thickBot="1">
      <c r="A30" s="62" t="s">
        <v>38</v>
      </c>
      <c r="B30" s="63">
        <f t="shared" ref="B30:Q30" si="4">B17+B29</f>
        <v>5502.7539999999999</v>
      </c>
      <c r="C30" s="63">
        <f t="shared" si="4"/>
        <v>5597.8010000000004</v>
      </c>
      <c r="D30" s="63">
        <f t="shared" si="4"/>
        <v>5514.8739999999998</v>
      </c>
      <c r="E30" s="64">
        <f t="shared" si="4"/>
        <v>5561.3450000000003</v>
      </c>
      <c r="F30" s="63">
        <f t="shared" si="4"/>
        <v>5629.4740000000011</v>
      </c>
      <c r="G30" s="63">
        <f t="shared" si="4"/>
        <v>5592.7070000000003</v>
      </c>
      <c r="H30" s="63">
        <f t="shared" si="4"/>
        <v>5597.9810000000007</v>
      </c>
      <c r="I30" s="65">
        <f t="shared" si="4"/>
        <v>5676.2300000000005</v>
      </c>
      <c r="J30" s="66">
        <f t="shared" si="4"/>
        <v>5851.1940000000004</v>
      </c>
      <c r="K30" s="67">
        <f t="shared" si="4"/>
        <v>27827.1</v>
      </c>
      <c r="L30" s="67">
        <f t="shared" si="4"/>
        <v>27481.199999999997</v>
      </c>
      <c r="M30" s="68">
        <f t="shared" si="4"/>
        <v>27338.699999999997</v>
      </c>
      <c r="N30" s="67">
        <f t="shared" si="4"/>
        <v>27088.9</v>
      </c>
      <c r="O30" s="67">
        <f t="shared" si="4"/>
        <v>27141.8</v>
      </c>
      <c r="P30" s="67">
        <f t="shared" si="4"/>
        <v>26143.5</v>
      </c>
      <c r="Q30" s="69">
        <f t="shared" si="4"/>
        <v>26490.099999999995</v>
      </c>
    </row>
    <row r="31" spans="1:17" s="14" customFormat="1" ht="33.75" customHeight="1" thickBot="1">
      <c r="A31" s="70" t="s">
        <v>39</v>
      </c>
      <c r="B31" s="71"/>
      <c r="C31" s="71"/>
      <c r="D31" s="71"/>
      <c r="E31" s="72"/>
      <c r="F31" s="71"/>
      <c r="G31" s="71"/>
      <c r="H31" s="71"/>
      <c r="I31" s="73"/>
      <c r="J31" s="74"/>
      <c r="K31" s="75"/>
      <c r="L31" s="75"/>
      <c r="M31" s="76"/>
      <c r="N31" s="77"/>
      <c r="O31" s="77"/>
      <c r="P31" s="75"/>
      <c r="Q31" s="78"/>
    </row>
    <row r="32" spans="1:17" s="14" customFormat="1" ht="20.100000000000001" customHeight="1">
      <c r="A32" s="22" t="s">
        <v>40</v>
      </c>
      <c r="B32" s="79">
        <f>13.934</f>
        <v>13.933999999999999</v>
      </c>
      <c r="C32" s="79">
        <f t="shared" ref="C32:J32" si="5">(13934)*0.001</f>
        <v>13.934000000000001</v>
      </c>
      <c r="D32" s="79">
        <f t="shared" si="5"/>
        <v>13.934000000000001</v>
      </c>
      <c r="E32" s="80">
        <f t="shared" si="5"/>
        <v>13.934000000000001</v>
      </c>
      <c r="F32" s="79">
        <f t="shared" si="5"/>
        <v>13.934000000000001</v>
      </c>
      <c r="G32" s="79">
        <f t="shared" si="5"/>
        <v>13.934000000000001</v>
      </c>
      <c r="H32" s="79">
        <f t="shared" si="5"/>
        <v>13.934000000000001</v>
      </c>
      <c r="I32" s="81">
        <f t="shared" si="5"/>
        <v>13.934000000000001</v>
      </c>
      <c r="J32" s="82">
        <f t="shared" si="5"/>
        <v>13.934000000000001</v>
      </c>
      <c r="K32" s="57">
        <v>25.6</v>
      </c>
      <c r="L32" s="57">
        <v>25.6</v>
      </c>
      <c r="M32" s="58">
        <v>25.6</v>
      </c>
      <c r="N32" s="57">
        <v>25.6</v>
      </c>
      <c r="O32" s="57">
        <v>25.6</v>
      </c>
      <c r="P32" s="57">
        <v>25.6</v>
      </c>
      <c r="Q32" s="58">
        <v>25.6</v>
      </c>
    </row>
    <row r="33" spans="1:17" s="14" customFormat="1" ht="20.100000000000001" customHeight="1">
      <c r="A33" s="22" t="s">
        <v>41</v>
      </c>
      <c r="B33" s="24">
        <f>432.265</f>
        <v>432.26499999999999</v>
      </c>
      <c r="C33" s="83">
        <v>0</v>
      </c>
      <c r="D33" s="83">
        <v>0</v>
      </c>
      <c r="E33" s="84">
        <v>0</v>
      </c>
      <c r="F33" s="83">
        <v>0</v>
      </c>
      <c r="G33" s="83">
        <v>0</v>
      </c>
      <c r="H33" s="83">
        <v>0</v>
      </c>
      <c r="I33" s="85">
        <v>0</v>
      </c>
      <c r="J33" s="86">
        <v>0</v>
      </c>
      <c r="K33" s="59">
        <v>0</v>
      </c>
      <c r="L33" s="59">
        <v>0</v>
      </c>
      <c r="M33" s="87">
        <v>0</v>
      </c>
      <c r="N33" s="59">
        <v>0</v>
      </c>
      <c r="O33" s="59">
        <v>0</v>
      </c>
      <c r="P33" s="59">
        <v>0</v>
      </c>
      <c r="Q33" s="29">
        <v>0</v>
      </c>
    </row>
    <row r="34" spans="1:17" s="14" customFormat="1" ht="20.100000000000001" customHeight="1">
      <c r="A34" s="22" t="s">
        <v>42</v>
      </c>
      <c r="B34" s="24">
        <f>1305.277</f>
        <v>1305.277</v>
      </c>
      <c r="C34" s="83">
        <v>0</v>
      </c>
      <c r="D34" s="83">
        <v>0</v>
      </c>
      <c r="E34" s="84">
        <v>0</v>
      </c>
      <c r="F34" s="83">
        <v>0</v>
      </c>
      <c r="G34" s="83">
        <v>0</v>
      </c>
      <c r="H34" s="83">
        <v>0</v>
      </c>
      <c r="I34" s="85">
        <v>0</v>
      </c>
      <c r="J34" s="86">
        <v>0</v>
      </c>
      <c r="K34" s="59">
        <v>0</v>
      </c>
      <c r="L34" s="59">
        <v>0</v>
      </c>
      <c r="M34" s="87">
        <v>0</v>
      </c>
      <c r="N34" s="59">
        <v>0</v>
      </c>
      <c r="O34" s="59">
        <v>0</v>
      </c>
      <c r="P34" s="59">
        <v>0</v>
      </c>
      <c r="Q34" s="29">
        <v>0</v>
      </c>
    </row>
    <row r="35" spans="1:17" s="14" customFormat="1" ht="20.100000000000001" customHeight="1">
      <c r="A35" s="22" t="s">
        <v>43</v>
      </c>
      <c r="B35" s="37" t="s">
        <v>44</v>
      </c>
      <c r="C35" s="24">
        <f t="shared" ref="C35:J35" si="6">(1295103)*0.001</f>
        <v>1295.1030000000001</v>
      </c>
      <c r="D35" s="24">
        <f t="shared" si="6"/>
        <v>1295.1030000000001</v>
      </c>
      <c r="E35" s="30">
        <f t="shared" si="6"/>
        <v>1295.1030000000001</v>
      </c>
      <c r="F35" s="24">
        <f t="shared" si="6"/>
        <v>1295.1030000000001</v>
      </c>
      <c r="G35" s="24">
        <f t="shared" si="6"/>
        <v>1295.1030000000001</v>
      </c>
      <c r="H35" s="24">
        <f t="shared" si="6"/>
        <v>1295.1030000000001</v>
      </c>
      <c r="I35" s="30">
        <f t="shared" si="6"/>
        <v>1295.1030000000001</v>
      </c>
      <c r="J35" s="24">
        <f t="shared" si="6"/>
        <v>1295.1030000000001</v>
      </c>
      <c r="K35" s="88">
        <v>7237.5</v>
      </c>
      <c r="L35" s="88">
        <v>7237.5</v>
      </c>
      <c r="M35" s="29">
        <v>7174</v>
      </c>
      <c r="N35" s="28">
        <v>7237.4</v>
      </c>
      <c r="O35" s="28">
        <v>7174</v>
      </c>
      <c r="P35" s="28">
        <v>7174</v>
      </c>
      <c r="Q35" s="29">
        <v>7174</v>
      </c>
    </row>
    <row r="36" spans="1:17" s="14" customFormat="1" ht="20.100000000000001" customHeight="1">
      <c r="A36" s="22" t="s">
        <v>45</v>
      </c>
      <c r="B36" s="24">
        <f>-3.17</f>
        <v>-3.17</v>
      </c>
      <c r="C36" s="83">
        <v>0</v>
      </c>
      <c r="D36" s="83">
        <v>0</v>
      </c>
      <c r="E36" s="84">
        <v>0</v>
      </c>
      <c r="F36" s="83">
        <v>0</v>
      </c>
      <c r="G36" s="83">
        <v>0</v>
      </c>
      <c r="H36" s="83">
        <v>0</v>
      </c>
      <c r="I36" s="85">
        <v>0</v>
      </c>
      <c r="J36" s="86">
        <v>0</v>
      </c>
      <c r="K36" s="59">
        <v>0</v>
      </c>
      <c r="L36" s="59">
        <v>0</v>
      </c>
      <c r="M36" s="87">
        <v>0</v>
      </c>
      <c r="N36" s="59">
        <v>0</v>
      </c>
      <c r="O36" s="59">
        <v>0</v>
      </c>
      <c r="P36" s="59">
        <v>0</v>
      </c>
      <c r="Q36" s="29">
        <v>0</v>
      </c>
    </row>
    <row r="37" spans="1:17" s="14" customFormat="1" ht="20.100000000000001" customHeight="1">
      <c r="A37" s="22" t="s">
        <v>46</v>
      </c>
      <c r="B37" s="24">
        <f>2.396</f>
        <v>2.3959999999999999</v>
      </c>
      <c r="C37" s="83">
        <v>0</v>
      </c>
      <c r="D37" s="83">
        <v>0</v>
      </c>
      <c r="E37" s="84">
        <v>0</v>
      </c>
      <c r="F37" s="83">
        <v>0</v>
      </c>
      <c r="G37" s="83">
        <v>0</v>
      </c>
      <c r="H37" s="83">
        <v>0</v>
      </c>
      <c r="I37" s="85">
        <v>0</v>
      </c>
      <c r="J37" s="86">
        <v>0</v>
      </c>
      <c r="K37" s="59">
        <v>0</v>
      </c>
      <c r="L37" s="59">
        <v>0</v>
      </c>
      <c r="M37" s="87">
        <v>0</v>
      </c>
      <c r="N37" s="59">
        <v>0</v>
      </c>
      <c r="O37" s="59">
        <v>0</v>
      </c>
      <c r="P37" s="59">
        <v>0</v>
      </c>
      <c r="Q37" s="29">
        <v>0</v>
      </c>
    </row>
    <row r="38" spans="1:17" s="14" customFormat="1" ht="20.100000000000001" customHeight="1">
      <c r="A38" s="22" t="s">
        <v>47</v>
      </c>
      <c r="B38" s="37" t="s">
        <v>44</v>
      </c>
      <c r="C38" s="24">
        <f>(1225)*0.001</f>
        <v>1.2250000000000001</v>
      </c>
      <c r="D38" s="24">
        <f>(-8191)*0.001</f>
        <v>-8.1910000000000007</v>
      </c>
      <c r="E38" s="25">
        <f>(-16327)*0.001</f>
        <v>-16.327000000000002</v>
      </c>
      <c r="F38" s="24">
        <f>(-17667)*0.001</f>
        <v>-17.667000000000002</v>
      </c>
      <c r="G38" s="24">
        <f>(-13285)*0.001</f>
        <v>-13.285</v>
      </c>
      <c r="H38" s="24">
        <f>(-11455)*0.001</f>
        <v>-11.455</v>
      </c>
      <c r="I38" s="26">
        <f>(-8964)*0.001</f>
        <v>-8.9640000000000004</v>
      </c>
      <c r="J38" s="86">
        <v>0</v>
      </c>
      <c r="K38" s="59">
        <v>0</v>
      </c>
      <c r="L38" s="88">
        <v>-9.1999999999999993</v>
      </c>
      <c r="M38" s="29">
        <v>-12.2</v>
      </c>
      <c r="N38" s="88">
        <v>-12.7</v>
      </c>
      <c r="O38" s="88">
        <v>-7.9</v>
      </c>
      <c r="P38" s="88">
        <v>-8.1999999999999993</v>
      </c>
      <c r="Q38" s="89">
        <v>-3.7</v>
      </c>
    </row>
    <row r="39" spans="1:17" s="14" customFormat="1" ht="20.100000000000001" customHeight="1" thickBot="1">
      <c r="A39" s="22" t="s">
        <v>48</v>
      </c>
      <c r="B39" s="24">
        <f>340.065</f>
        <v>340.065</v>
      </c>
      <c r="C39" s="24">
        <f>(882007)*0.001</f>
        <v>882.00700000000006</v>
      </c>
      <c r="D39" s="24">
        <f>(1054069)*0.001</f>
        <v>1054.069</v>
      </c>
      <c r="E39" s="30">
        <f>(1175693)*0.001</f>
        <v>1175.693</v>
      </c>
      <c r="F39" s="24">
        <f>(1270798)*0.001</f>
        <v>1270.798</v>
      </c>
      <c r="G39" s="24">
        <f>(1351543)*0.001</f>
        <v>1351.5430000000001</v>
      </c>
      <c r="H39" s="24">
        <f>(1527994)*0.001</f>
        <v>1527.9940000000001</v>
      </c>
      <c r="I39" s="30">
        <f>(1701138)*0.001</f>
        <v>1701.1380000000001</v>
      </c>
      <c r="J39" s="24">
        <f>(1799310)*0.001</f>
        <v>1799.31</v>
      </c>
      <c r="K39" s="88">
        <v>1828.6</v>
      </c>
      <c r="L39" s="88">
        <v>1876.8</v>
      </c>
      <c r="M39" s="29">
        <v>1890.8</v>
      </c>
      <c r="N39" s="88">
        <v>2061.6</v>
      </c>
      <c r="O39" s="88">
        <v>2366.1</v>
      </c>
      <c r="P39" s="88">
        <v>2868.6</v>
      </c>
      <c r="Q39" s="89">
        <v>3054.2</v>
      </c>
    </row>
    <row r="40" spans="1:17" s="55" customFormat="1" ht="24.95" customHeight="1" thickBot="1">
      <c r="A40" s="49" t="s">
        <v>49</v>
      </c>
      <c r="B40" s="50">
        <f t="shared" ref="B40:C40" si="7">SUM(B32:B39)</f>
        <v>2090.7669999999998</v>
      </c>
      <c r="C40" s="50">
        <f t="shared" si="7"/>
        <v>2192.2690000000002</v>
      </c>
      <c r="D40" s="50">
        <f t="shared" ref="D40:Q40" si="8">SUM(D32:D39)</f>
        <v>2354.915</v>
      </c>
      <c r="E40" s="51">
        <f t="shared" si="8"/>
        <v>2468.4030000000002</v>
      </c>
      <c r="F40" s="50">
        <f t="shared" si="8"/>
        <v>2562.1680000000001</v>
      </c>
      <c r="G40" s="50">
        <f t="shared" si="8"/>
        <v>2647.2950000000001</v>
      </c>
      <c r="H40" s="50">
        <f t="shared" si="8"/>
        <v>2825.576</v>
      </c>
      <c r="I40" s="50">
        <f t="shared" si="8"/>
        <v>3001.2110000000002</v>
      </c>
      <c r="J40" s="52">
        <f t="shared" si="8"/>
        <v>3108.3469999999998</v>
      </c>
      <c r="K40" s="53">
        <f t="shared" si="8"/>
        <v>9091.7000000000007</v>
      </c>
      <c r="L40" s="53">
        <f t="shared" si="8"/>
        <v>9130.7000000000007</v>
      </c>
      <c r="M40" s="54">
        <f t="shared" si="8"/>
        <v>9078.2000000000007</v>
      </c>
      <c r="N40" s="53">
        <f t="shared" si="8"/>
        <v>9311.9</v>
      </c>
      <c r="O40" s="53">
        <f t="shared" si="8"/>
        <v>9557.8000000000011</v>
      </c>
      <c r="P40" s="53">
        <f t="shared" si="8"/>
        <v>10060</v>
      </c>
      <c r="Q40" s="54">
        <f t="shared" si="8"/>
        <v>10250.1</v>
      </c>
    </row>
    <row r="41" spans="1:17" s="55" customFormat="1" ht="20.100000000000001" customHeight="1" thickBot="1">
      <c r="A41" s="90" t="s">
        <v>50</v>
      </c>
      <c r="B41" s="83">
        <v>0</v>
      </c>
      <c r="C41" s="83">
        <v>0</v>
      </c>
      <c r="D41" s="83">
        <v>0</v>
      </c>
      <c r="E41" s="84">
        <v>0</v>
      </c>
      <c r="F41" s="83">
        <v>0</v>
      </c>
      <c r="G41" s="83">
        <v>0</v>
      </c>
      <c r="H41" s="91">
        <f>2/1000</f>
        <v>2E-3</v>
      </c>
      <c r="I41" s="92">
        <f>2/1000</f>
        <v>2E-3</v>
      </c>
      <c r="J41" s="93">
        <f>2/1000</f>
        <v>2E-3</v>
      </c>
      <c r="K41" s="94">
        <v>0</v>
      </c>
      <c r="L41" s="94">
        <v>0</v>
      </c>
      <c r="M41" s="87">
        <v>0</v>
      </c>
      <c r="N41" s="94">
        <v>0</v>
      </c>
      <c r="O41" s="94">
        <v>0</v>
      </c>
      <c r="P41" s="94">
        <v>0</v>
      </c>
      <c r="Q41" s="89">
        <v>0</v>
      </c>
    </row>
    <row r="42" spans="1:17" s="55" customFormat="1" ht="24.95" customHeight="1" thickBot="1">
      <c r="A42" s="49" t="s">
        <v>51</v>
      </c>
      <c r="B42" s="50">
        <f t="shared" ref="B42:D42" si="9">B40+B41</f>
        <v>2090.7669999999998</v>
      </c>
      <c r="C42" s="50">
        <f t="shared" si="9"/>
        <v>2192.2690000000002</v>
      </c>
      <c r="D42" s="50">
        <f t="shared" si="9"/>
        <v>2354.915</v>
      </c>
      <c r="E42" s="51">
        <f t="shared" ref="E42:G42" si="10">E40</f>
        <v>2468.4030000000002</v>
      </c>
      <c r="F42" s="50">
        <f t="shared" si="10"/>
        <v>2562.1680000000001</v>
      </c>
      <c r="G42" s="50">
        <f t="shared" si="10"/>
        <v>2647.2950000000001</v>
      </c>
      <c r="H42" s="50">
        <f>SUM(H40:H41)</f>
        <v>2825.578</v>
      </c>
      <c r="I42" s="50">
        <f t="shared" ref="I42:Q42" si="11">I40+I41</f>
        <v>3001.2130000000002</v>
      </c>
      <c r="J42" s="52">
        <f t="shared" si="11"/>
        <v>3108.3489999999997</v>
      </c>
      <c r="K42" s="53">
        <f t="shared" si="11"/>
        <v>9091.7000000000007</v>
      </c>
      <c r="L42" s="53">
        <f t="shared" si="11"/>
        <v>9130.7000000000007</v>
      </c>
      <c r="M42" s="54">
        <f t="shared" si="11"/>
        <v>9078.2000000000007</v>
      </c>
      <c r="N42" s="53">
        <f t="shared" si="11"/>
        <v>9311.9</v>
      </c>
      <c r="O42" s="53">
        <f t="shared" si="11"/>
        <v>9557.8000000000011</v>
      </c>
      <c r="P42" s="53">
        <f t="shared" si="11"/>
        <v>10060</v>
      </c>
      <c r="Q42" s="54">
        <f t="shared" si="11"/>
        <v>10250.1</v>
      </c>
    </row>
    <row r="43" spans="1:17" s="14" customFormat="1" ht="20.100000000000001" customHeight="1">
      <c r="A43" s="22" t="s">
        <v>52</v>
      </c>
      <c r="B43" s="24">
        <f>932.068</f>
        <v>932.06799999999998</v>
      </c>
      <c r="C43" s="24">
        <f>(889155)*0.001</f>
        <v>889.15499999999997</v>
      </c>
      <c r="D43" s="24">
        <f>(680371)*0.001</f>
        <v>680.37099999999998</v>
      </c>
      <c r="E43" s="25">
        <f>(592003)*0.001</f>
        <v>592.00300000000004</v>
      </c>
      <c r="F43" s="24">
        <f>(572819)*0.001</f>
        <v>572.81899999999996</v>
      </c>
      <c r="G43" s="24">
        <f>(422858)*0.001</f>
        <v>422.858</v>
      </c>
      <c r="H43" s="24">
        <f>(329798)*0.001</f>
        <v>329.798</v>
      </c>
      <c r="I43" s="26">
        <f>(239889)*0.001</f>
        <v>239.88900000000001</v>
      </c>
      <c r="J43" s="27">
        <f>(236277)*0.001</f>
        <v>236.27700000000002</v>
      </c>
      <c r="K43" s="28">
        <v>8446.1</v>
      </c>
      <c r="L43" s="28">
        <v>7976.3</v>
      </c>
      <c r="M43" s="29">
        <v>7683.5</v>
      </c>
      <c r="N43" s="88">
        <v>7357.9</v>
      </c>
      <c r="O43" s="88">
        <v>7034.6</v>
      </c>
      <c r="P43" s="28">
        <v>5644.9</v>
      </c>
      <c r="Q43" s="89">
        <v>5379.8</v>
      </c>
    </row>
    <row r="44" spans="1:17" s="14" customFormat="1" ht="20.100000000000001" customHeight="1">
      <c r="A44" s="22" t="s">
        <v>53</v>
      </c>
      <c r="B44" s="24">
        <f>1360.637</f>
        <v>1360.6369999999999</v>
      </c>
      <c r="C44" s="24">
        <f>(1369593)*0.001</f>
        <v>1369.5930000000001</v>
      </c>
      <c r="D44" s="24">
        <f>(1347224)*0.001</f>
        <v>1347.2239999999999</v>
      </c>
      <c r="E44" s="30">
        <f>(1316479)*0.001</f>
        <v>1316.479</v>
      </c>
      <c r="F44" s="24">
        <f>(1370119)*0.001</f>
        <v>1370.1190000000001</v>
      </c>
      <c r="G44" s="24">
        <f>(1395972)*0.001</f>
        <v>1395.972</v>
      </c>
      <c r="H44" s="24">
        <f>(1385314)*0.001</f>
        <v>1385.3140000000001</v>
      </c>
      <c r="I44" s="30">
        <f>(1340010)*0.001</f>
        <v>1340.01</v>
      </c>
      <c r="J44" s="24">
        <f>(1396071)*0.001</f>
        <v>1396.0710000000001</v>
      </c>
      <c r="K44" s="28">
        <v>4286.8999999999996</v>
      </c>
      <c r="L44" s="28">
        <v>4302.1000000000004</v>
      </c>
      <c r="M44" s="29">
        <v>4550.2</v>
      </c>
      <c r="N44" s="88">
        <v>4470</v>
      </c>
      <c r="O44" s="88">
        <v>4582.5</v>
      </c>
      <c r="P44" s="28">
        <v>964.4</v>
      </c>
      <c r="Q44" s="89">
        <v>975.3</v>
      </c>
    </row>
    <row r="45" spans="1:17" s="14" customFormat="1" ht="20.100000000000001" customHeight="1">
      <c r="A45" s="22" t="s">
        <v>54</v>
      </c>
      <c r="B45" s="24">
        <f>0.81</f>
        <v>0.81</v>
      </c>
      <c r="C45" s="24">
        <f>(741)*0.001</f>
        <v>0.74099999999999999</v>
      </c>
      <c r="D45" s="24">
        <f>(638)*0.001</f>
        <v>0.63800000000000001</v>
      </c>
      <c r="E45" s="25">
        <f>(551)*0.001</f>
        <v>0.55100000000000005</v>
      </c>
      <c r="F45" s="24">
        <f>(474)*0.001</f>
        <v>0.47400000000000003</v>
      </c>
      <c r="G45" s="24">
        <f>(424)*0.001</f>
        <v>0.42399999999999999</v>
      </c>
      <c r="H45" s="24">
        <f>(306)*0.001</f>
        <v>0.30599999999999999</v>
      </c>
      <c r="I45" s="26">
        <f>(227)*0.001</f>
        <v>0.22700000000000001</v>
      </c>
      <c r="J45" s="27">
        <f>(166)*0.001</f>
        <v>0.16600000000000001</v>
      </c>
      <c r="K45" s="28">
        <v>4.5</v>
      </c>
      <c r="L45" s="28">
        <v>7.9</v>
      </c>
      <c r="M45" s="29">
        <v>11.7</v>
      </c>
      <c r="N45" s="28">
        <v>13.4</v>
      </c>
      <c r="O45" s="28">
        <v>15.7</v>
      </c>
      <c r="P45" s="28">
        <v>21.3</v>
      </c>
      <c r="Q45" s="89">
        <v>20.9</v>
      </c>
    </row>
    <row r="46" spans="1:17" s="14" customFormat="1" ht="20.100000000000001" customHeight="1">
      <c r="A46" s="22" t="s">
        <v>55</v>
      </c>
      <c r="B46" s="32">
        <f t="shared" ref="B46" si="12">0*($A$75)</f>
        <v>0</v>
      </c>
      <c r="C46" s="32">
        <f>0</f>
        <v>0</v>
      </c>
      <c r="D46" s="32">
        <f>0</f>
        <v>0</v>
      </c>
      <c r="E46" s="60">
        <v>0</v>
      </c>
      <c r="F46" s="32">
        <v>0</v>
      </c>
      <c r="G46" s="32">
        <f>0</f>
        <v>0</v>
      </c>
      <c r="H46" s="32">
        <v>0</v>
      </c>
      <c r="I46" s="61">
        <v>0</v>
      </c>
      <c r="J46" s="35">
        <v>0</v>
      </c>
      <c r="K46" s="28">
        <v>835.8</v>
      </c>
      <c r="L46" s="28">
        <v>730.2</v>
      </c>
      <c r="M46" s="29">
        <v>750.3</v>
      </c>
      <c r="N46" s="28">
        <v>724.4</v>
      </c>
      <c r="O46" s="28">
        <v>747.9</v>
      </c>
      <c r="P46" s="28">
        <v>645.1</v>
      </c>
      <c r="Q46" s="89">
        <v>652.79999999999995</v>
      </c>
    </row>
    <row r="47" spans="1:17" s="14" customFormat="1" ht="20.100000000000001" customHeight="1">
      <c r="A47" s="22" t="s">
        <v>56</v>
      </c>
      <c r="B47" s="24">
        <f>87.307</f>
        <v>87.307000000000002</v>
      </c>
      <c r="C47" s="24">
        <f>(88480)*0.001</f>
        <v>88.48</v>
      </c>
      <c r="D47" s="24">
        <f>(97271)*0.001</f>
        <v>97.271000000000001</v>
      </c>
      <c r="E47" s="25">
        <f>(94258)*0.001</f>
        <v>94.257999999999996</v>
      </c>
      <c r="F47" s="24">
        <f>(93487)*0.001</f>
        <v>93.487000000000009</v>
      </c>
      <c r="G47" s="24">
        <f>(93150)*0.001</f>
        <v>93.15</v>
      </c>
      <c r="H47" s="24">
        <f>(98799)*0.001</f>
        <v>98.799000000000007</v>
      </c>
      <c r="I47" s="26">
        <f>(108066)*0.001</f>
        <v>108.066</v>
      </c>
      <c r="J47" s="27">
        <f>(95950)*0.001</f>
        <v>95.95</v>
      </c>
      <c r="K47" s="28">
        <v>1010.7</v>
      </c>
      <c r="L47" s="28">
        <v>1038.8</v>
      </c>
      <c r="M47" s="29">
        <v>908.7</v>
      </c>
      <c r="N47" s="28">
        <v>888.6</v>
      </c>
      <c r="O47" s="28">
        <v>821.1</v>
      </c>
      <c r="P47" s="28">
        <v>770.4</v>
      </c>
      <c r="Q47" s="89">
        <v>615.79999999999995</v>
      </c>
    </row>
    <row r="48" spans="1:17" s="14" customFormat="1" ht="20.100000000000001" customHeight="1">
      <c r="A48" s="22" t="s">
        <v>57</v>
      </c>
      <c r="B48" s="37" t="s">
        <v>58</v>
      </c>
      <c r="C48" s="24">
        <f>(6285)*0.001</f>
        <v>6.2850000000000001</v>
      </c>
      <c r="D48" s="24">
        <f>(5716)*0.001</f>
        <v>5.7160000000000002</v>
      </c>
      <c r="E48" s="25">
        <f>(5181)*0.001</f>
        <v>5.181</v>
      </c>
      <c r="F48" s="24">
        <f>(4978)*0.001</f>
        <v>4.9779999999999998</v>
      </c>
      <c r="G48" s="24">
        <f>(4754)*0.001</f>
        <v>4.7540000000000004</v>
      </c>
      <c r="H48" s="24">
        <f>(4303)*0.001</f>
        <v>4.3029999999999999</v>
      </c>
      <c r="I48" s="26">
        <f>(4079)*0.001</f>
        <v>4.0789999999999997</v>
      </c>
      <c r="J48" s="27">
        <f>(3008)*0.001</f>
        <v>3.008</v>
      </c>
      <c r="K48" s="28">
        <v>2.8</v>
      </c>
      <c r="L48" s="28">
        <v>3.9</v>
      </c>
      <c r="M48" s="29">
        <v>4.7</v>
      </c>
      <c r="N48" s="28">
        <v>5.5</v>
      </c>
      <c r="O48" s="28">
        <v>5</v>
      </c>
      <c r="P48" s="28">
        <v>4.5</v>
      </c>
      <c r="Q48" s="89">
        <v>4.7</v>
      </c>
    </row>
    <row r="49" spans="1:17" s="14" customFormat="1" ht="20.100000000000001" customHeight="1">
      <c r="A49" s="22" t="s">
        <v>59</v>
      </c>
      <c r="B49" s="24">
        <f>13.779</f>
        <v>13.779</v>
      </c>
      <c r="C49" s="24">
        <f>(17835)*0.001</f>
        <v>17.835000000000001</v>
      </c>
      <c r="D49" s="24">
        <f>(19037)*0.001</f>
        <v>19.036999999999999</v>
      </c>
      <c r="E49" s="25">
        <f>(17690)*0.001</f>
        <v>17.690000000000001</v>
      </c>
      <c r="F49" s="24">
        <f>(17684)*0.001</f>
        <v>17.684000000000001</v>
      </c>
      <c r="G49" s="24">
        <f>(10154)*0.001</f>
        <v>10.154</v>
      </c>
      <c r="H49" s="24">
        <f>(8594)*0.001</f>
        <v>8.5939999999999994</v>
      </c>
      <c r="I49" s="26">
        <f>(7915)*0.001</f>
        <v>7.915</v>
      </c>
      <c r="J49" s="27">
        <f>(7828)*0.001</f>
        <v>7.8280000000000003</v>
      </c>
      <c r="K49" s="28">
        <v>158.19999999999999</v>
      </c>
      <c r="L49" s="28">
        <v>164.6</v>
      </c>
      <c r="M49" s="29">
        <v>184.2</v>
      </c>
      <c r="N49" s="28">
        <v>167.4</v>
      </c>
      <c r="O49" s="28">
        <v>132.4</v>
      </c>
      <c r="P49" s="28">
        <v>133.1</v>
      </c>
      <c r="Q49" s="89">
        <v>124.2</v>
      </c>
    </row>
    <row r="50" spans="1:17" s="45" customFormat="1" ht="20.100000000000001" customHeight="1" thickBot="1">
      <c r="A50" s="38" t="s">
        <v>60</v>
      </c>
      <c r="B50" s="32">
        <f t="shared" ref="B50:L50" si="13">0*($A$75)</f>
        <v>0</v>
      </c>
      <c r="C50" s="32">
        <f>0</f>
        <v>0</v>
      </c>
      <c r="D50" s="32">
        <f>0</f>
        <v>0</v>
      </c>
      <c r="E50" s="60">
        <v>0</v>
      </c>
      <c r="F50" s="32">
        <v>0</v>
      </c>
      <c r="G50" s="32">
        <f>0</f>
        <v>0</v>
      </c>
      <c r="H50" s="32">
        <v>0</v>
      </c>
      <c r="I50" s="40">
        <v>0.1</v>
      </c>
      <c r="J50" s="35">
        <v>0</v>
      </c>
      <c r="K50" s="36">
        <f t="shared" si="13"/>
        <v>0</v>
      </c>
      <c r="L50" s="36">
        <f t="shared" si="13"/>
        <v>0</v>
      </c>
      <c r="M50" s="44">
        <v>40.1</v>
      </c>
      <c r="N50" s="43">
        <v>22.6</v>
      </c>
      <c r="O50" s="43">
        <v>2</v>
      </c>
      <c r="P50" s="43">
        <v>1.9</v>
      </c>
      <c r="Q50" s="89">
        <v>0</v>
      </c>
    </row>
    <row r="51" spans="1:17" s="55" customFormat="1" ht="24.95" customHeight="1" thickBot="1">
      <c r="A51" s="49" t="s">
        <v>61</v>
      </c>
      <c r="B51" s="50">
        <f t="shared" ref="B51" si="14">SUM(B43:B49)</f>
        <v>2394.6009999999997</v>
      </c>
      <c r="C51" s="50">
        <f t="shared" ref="C51:L51" si="15">SUM(C43:C49)</f>
        <v>2372.0889999999999</v>
      </c>
      <c r="D51" s="50">
        <f t="shared" si="15"/>
        <v>2150.2569999999996</v>
      </c>
      <c r="E51" s="51">
        <f t="shared" si="15"/>
        <v>2026.162</v>
      </c>
      <c r="F51" s="50">
        <f t="shared" si="15"/>
        <v>2059.5610000000001</v>
      </c>
      <c r="G51" s="50">
        <f t="shared" si="15"/>
        <v>1927.3119999999999</v>
      </c>
      <c r="H51" s="50">
        <f t="shared" si="15"/>
        <v>1827.1140000000003</v>
      </c>
      <c r="I51" s="50">
        <f t="shared" si="15"/>
        <v>1700.1859999999999</v>
      </c>
      <c r="J51" s="52">
        <f t="shared" si="15"/>
        <v>1739.3000000000002</v>
      </c>
      <c r="K51" s="53">
        <f t="shared" si="15"/>
        <v>14745</v>
      </c>
      <c r="L51" s="53">
        <f t="shared" si="15"/>
        <v>14223.800000000001</v>
      </c>
      <c r="M51" s="54">
        <f>SUM(M43:M50)-M50</f>
        <v>14093.300000000003</v>
      </c>
      <c r="N51" s="53">
        <f>SUM(N43:N50)-N50</f>
        <v>13627.199999999999</v>
      </c>
      <c r="O51" s="53">
        <f>SUM(O43:O50)-O50</f>
        <v>13339.2</v>
      </c>
      <c r="P51" s="53">
        <f>SUM(P43:P50)-P50</f>
        <v>8183.7</v>
      </c>
      <c r="Q51" s="54">
        <f>SUM(Q43:Q50)-Q50</f>
        <v>7773.5</v>
      </c>
    </row>
    <row r="52" spans="1:17" s="14" customFormat="1" ht="20.100000000000001" customHeight="1">
      <c r="A52" s="22" t="s">
        <v>52</v>
      </c>
      <c r="B52" s="24">
        <f>250.363</f>
        <v>250.363</v>
      </c>
      <c r="C52" s="24">
        <f>(265796)*0.001</f>
        <v>265.79599999999999</v>
      </c>
      <c r="D52" s="24">
        <f>(238676)*0.001</f>
        <v>238.67600000000002</v>
      </c>
      <c r="E52" s="25">
        <f>(275608)*0.001</f>
        <v>275.608</v>
      </c>
      <c r="F52" s="24">
        <f>(250329)*0.001</f>
        <v>250.32900000000001</v>
      </c>
      <c r="G52" s="24">
        <f>(263389)*0.001</f>
        <v>263.38900000000001</v>
      </c>
      <c r="H52" s="24">
        <f>(214673)*0.001</f>
        <v>214.673</v>
      </c>
      <c r="I52" s="26">
        <f>(245994)*0.001</f>
        <v>245.994</v>
      </c>
      <c r="J52" s="27">
        <f>(240921)*0.001</f>
        <v>240.92099999999999</v>
      </c>
      <c r="K52" s="28">
        <v>1094.3</v>
      </c>
      <c r="L52" s="28">
        <v>1365.1</v>
      </c>
      <c r="M52" s="29">
        <v>1322.6</v>
      </c>
      <c r="N52" s="88">
        <v>1543.9</v>
      </c>
      <c r="O52" s="88">
        <v>1169.9000000000001</v>
      </c>
      <c r="P52" s="28">
        <v>963.7</v>
      </c>
      <c r="Q52" s="89">
        <v>1230.9000000000001</v>
      </c>
    </row>
    <row r="53" spans="1:17" s="14" customFormat="1" ht="20.100000000000001" customHeight="1">
      <c r="A53" s="22" t="s">
        <v>53</v>
      </c>
      <c r="B53" s="24">
        <f>100.836</f>
        <v>100.836</v>
      </c>
      <c r="C53" s="24">
        <f>(101342)*0.001</f>
        <v>101.342</v>
      </c>
      <c r="D53" s="24">
        <f>(99687)*0.001</f>
        <v>99.686999999999998</v>
      </c>
      <c r="E53" s="25">
        <f>(97256)*0.001</f>
        <v>97.256</v>
      </c>
      <c r="F53" s="24">
        <f>(101219)*0.001</f>
        <v>101.21900000000001</v>
      </c>
      <c r="G53" s="24">
        <f>(102957)*0.001</f>
        <v>102.95700000000001</v>
      </c>
      <c r="H53" s="24">
        <f>(102171)*0.001</f>
        <v>102.17100000000001</v>
      </c>
      <c r="I53" s="26">
        <f>(98659)*0.001</f>
        <v>98.659000000000006</v>
      </c>
      <c r="J53" s="27">
        <f>(101071)*0.001</f>
        <v>101.071</v>
      </c>
      <c r="K53" s="28">
        <v>431.9</v>
      </c>
      <c r="L53" s="28">
        <v>439.1</v>
      </c>
      <c r="M53" s="29">
        <v>464.4</v>
      </c>
      <c r="N53" s="28">
        <v>462.5</v>
      </c>
      <c r="O53" s="28">
        <v>479.4</v>
      </c>
      <c r="P53" s="28">
        <v>4607.5</v>
      </c>
      <c r="Q53" s="89">
        <v>4776.7</v>
      </c>
    </row>
    <row r="54" spans="1:17" s="14" customFormat="1" ht="20.100000000000001" customHeight="1">
      <c r="A54" s="22" t="s">
        <v>54</v>
      </c>
      <c r="B54" s="24">
        <f>0.237</f>
        <v>0.23699999999999999</v>
      </c>
      <c r="C54" s="24">
        <f>(243)*0.001</f>
        <v>0.24299999999999999</v>
      </c>
      <c r="D54" s="24">
        <f>(234)*0.001</f>
        <v>0.23400000000000001</v>
      </c>
      <c r="E54" s="25">
        <f>(233)*0.001</f>
        <v>0.23300000000000001</v>
      </c>
      <c r="F54" s="24">
        <f>(238)*0.001</f>
        <v>0.23800000000000002</v>
      </c>
      <c r="G54" s="24">
        <f>(247)*0.001</f>
        <v>0.247</v>
      </c>
      <c r="H54" s="24">
        <f>(240)*0.001</f>
        <v>0.24</v>
      </c>
      <c r="I54" s="26">
        <f>(236)*0.001</f>
        <v>0.23600000000000002</v>
      </c>
      <c r="J54" s="27">
        <f>(237)*0.001</f>
        <v>0.23700000000000002</v>
      </c>
      <c r="K54" s="28">
        <v>5.3</v>
      </c>
      <c r="L54" s="28">
        <v>5.8</v>
      </c>
      <c r="M54" s="29">
        <v>6.8</v>
      </c>
      <c r="N54" s="28">
        <v>2.7</v>
      </c>
      <c r="O54" s="28">
        <v>3.7</v>
      </c>
      <c r="P54" s="28">
        <v>4.3</v>
      </c>
      <c r="Q54" s="89">
        <v>4.3</v>
      </c>
    </row>
    <row r="55" spans="1:17" s="14" customFormat="1" ht="20.100000000000001" customHeight="1">
      <c r="A55" s="22" t="s">
        <v>55</v>
      </c>
      <c r="B55" s="23">
        <v>0</v>
      </c>
      <c r="C55" s="23">
        <v>0</v>
      </c>
      <c r="D55" s="23">
        <v>0</v>
      </c>
      <c r="E55" s="33">
        <v>0</v>
      </c>
      <c r="F55" s="23">
        <v>0</v>
      </c>
      <c r="G55" s="23">
        <v>0</v>
      </c>
      <c r="H55" s="23">
        <v>0</v>
      </c>
      <c r="I55" s="34">
        <v>0</v>
      </c>
      <c r="J55" s="95">
        <v>0</v>
      </c>
      <c r="K55" s="28">
        <v>115.8</v>
      </c>
      <c r="L55" s="28">
        <v>113.9</v>
      </c>
      <c r="M55" s="29">
        <v>117.1</v>
      </c>
      <c r="N55" s="28">
        <v>113</v>
      </c>
      <c r="O55" s="28">
        <v>116.7</v>
      </c>
      <c r="P55" s="28">
        <v>115.6</v>
      </c>
      <c r="Q55" s="89">
        <v>117</v>
      </c>
    </row>
    <row r="56" spans="1:17" s="14" customFormat="1" ht="20.100000000000001" customHeight="1">
      <c r="A56" s="22" t="s">
        <v>62</v>
      </c>
      <c r="B56" s="24">
        <f>435.427</f>
        <v>435.42700000000002</v>
      </c>
      <c r="C56" s="24">
        <f>(436188)*0.001</f>
        <v>436.18799999999999</v>
      </c>
      <c r="D56" s="24">
        <f>(441676)*0.001</f>
        <v>441.67599999999999</v>
      </c>
      <c r="E56" s="25">
        <f>(472094)*0.001</f>
        <v>472.09399999999999</v>
      </c>
      <c r="F56" s="24">
        <f>(432897)*0.001</f>
        <v>432.89699999999999</v>
      </c>
      <c r="G56" s="24">
        <f>(428004)*0.001</f>
        <v>428.00400000000002</v>
      </c>
      <c r="H56" s="24">
        <f>(390829)*0.001</f>
        <v>390.82900000000001</v>
      </c>
      <c r="I56" s="26">
        <f>(413210)*0.001</f>
        <v>413.21000000000004</v>
      </c>
      <c r="J56" s="27">
        <f>(418100)*0.001</f>
        <v>418.1</v>
      </c>
      <c r="K56" s="28">
        <v>1618.8</v>
      </c>
      <c r="L56" s="28">
        <v>1505.3</v>
      </c>
      <c r="M56" s="29">
        <v>1523</v>
      </c>
      <c r="N56" s="88">
        <v>1333.5</v>
      </c>
      <c r="O56" s="88">
        <v>1670.4</v>
      </c>
      <c r="P56" s="28">
        <v>1431.5</v>
      </c>
      <c r="Q56" s="89">
        <v>1485.4</v>
      </c>
    </row>
    <row r="57" spans="1:17" s="14" customFormat="1" ht="20.100000000000001" customHeight="1">
      <c r="A57" s="38" t="s">
        <v>60</v>
      </c>
      <c r="B57" s="23">
        <v>0</v>
      </c>
      <c r="C57" s="23">
        <v>0</v>
      </c>
      <c r="D57" s="23">
        <v>0</v>
      </c>
      <c r="E57" s="33">
        <v>0</v>
      </c>
      <c r="F57" s="23">
        <v>0</v>
      </c>
      <c r="G57" s="23">
        <v>0</v>
      </c>
      <c r="H57" s="23">
        <v>0</v>
      </c>
      <c r="I57" s="40">
        <v>12</v>
      </c>
      <c r="J57" s="95">
        <v>0</v>
      </c>
      <c r="K57" s="28">
        <v>0</v>
      </c>
      <c r="L57" s="28">
        <v>0</v>
      </c>
      <c r="M57" s="44">
        <v>87</v>
      </c>
      <c r="N57" s="43">
        <v>99.7</v>
      </c>
      <c r="O57" s="43">
        <v>79</v>
      </c>
      <c r="P57" s="43">
        <v>57.1</v>
      </c>
      <c r="Q57" s="89">
        <v>72.900000000000006</v>
      </c>
    </row>
    <row r="58" spans="1:17" s="14" customFormat="1" ht="20.100000000000001" customHeight="1">
      <c r="A58" s="22" t="s">
        <v>63</v>
      </c>
      <c r="B58" s="24">
        <f>29.589</f>
        <v>29.588999999999999</v>
      </c>
      <c r="C58" s="24">
        <f>(7799)*0.001</f>
        <v>7.7990000000000004</v>
      </c>
      <c r="D58" s="24">
        <f>(6782)*0.001</f>
        <v>6.782</v>
      </c>
      <c r="E58" s="25">
        <f>(7092)*0.001</f>
        <v>7.0920000000000005</v>
      </c>
      <c r="F58" s="24">
        <f>(1990)*0.001</f>
        <v>1.99</v>
      </c>
      <c r="G58" s="24">
        <f>(6510)*0.001</f>
        <v>6.51</v>
      </c>
      <c r="H58" s="24">
        <f>(14152)*0.001</f>
        <v>14.152000000000001</v>
      </c>
      <c r="I58" s="26">
        <f>(4520)*0.001</f>
        <v>4.5200000000000005</v>
      </c>
      <c r="J58" s="27">
        <f>(12203)*0.001</f>
        <v>12.202999999999999</v>
      </c>
      <c r="K58" s="28">
        <v>43.7</v>
      </c>
      <c r="L58" s="28">
        <v>22.1</v>
      </c>
      <c r="M58" s="29">
        <v>48.028993427171699</v>
      </c>
      <c r="N58" s="28">
        <v>22.5</v>
      </c>
      <c r="O58" s="28">
        <v>132.69999999999999</v>
      </c>
      <c r="P58" s="28">
        <v>96.3</v>
      </c>
      <c r="Q58" s="89">
        <v>176.1</v>
      </c>
    </row>
    <row r="59" spans="1:17" s="14" customFormat="1" ht="20.100000000000001" customHeight="1">
      <c r="A59" s="22" t="s">
        <v>64</v>
      </c>
      <c r="B59" s="24">
        <f>12.532</f>
        <v>12.532</v>
      </c>
      <c r="C59" s="24">
        <f>(12125)*0.001</f>
        <v>12.125</v>
      </c>
      <c r="D59" s="24">
        <f>(12084)*0.001</f>
        <v>12.084</v>
      </c>
      <c r="E59" s="25">
        <f>(13259)*0.001</f>
        <v>13.259</v>
      </c>
      <c r="F59" s="24">
        <f>(13182)*0.001</f>
        <v>13.182</v>
      </c>
      <c r="G59" s="24">
        <f>(12551)*0.001</f>
        <v>12.551</v>
      </c>
      <c r="H59" s="24">
        <f>(12536)*0.001</f>
        <v>12.536</v>
      </c>
      <c r="I59" s="26">
        <f>(2727)*0.001</f>
        <v>2.7269999999999999</v>
      </c>
      <c r="J59" s="27">
        <f>(2843)*0.001</f>
        <v>2.843</v>
      </c>
      <c r="K59" s="28">
        <v>2.6</v>
      </c>
      <c r="L59" s="28">
        <v>2.7</v>
      </c>
      <c r="M59" s="29">
        <v>1.4</v>
      </c>
      <c r="N59" s="28">
        <v>1.4</v>
      </c>
      <c r="O59" s="96" t="s">
        <v>65</v>
      </c>
      <c r="P59" s="96" t="s">
        <v>65</v>
      </c>
      <c r="Q59" s="97" t="s">
        <v>65</v>
      </c>
    </row>
    <row r="60" spans="1:17" s="14" customFormat="1" ht="20.100000000000001" customHeight="1">
      <c r="A60" s="22" t="s">
        <v>66</v>
      </c>
      <c r="B60" s="24">
        <f>188.402</f>
        <v>188.40199999999999</v>
      </c>
      <c r="C60" s="24">
        <f>(209950)*0.001</f>
        <v>209.95000000000002</v>
      </c>
      <c r="D60" s="24">
        <f>(210563)*0.001</f>
        <v>210.56300000000002</v>
      </c>
      <c r="E60" s="25">
        <f>(201238)*0.001</f>
        <v>201.238</v>
      </c>
      <c r="F60" s="24">
        <f>(207890)*0.001</f>
        <v>207.89000000000001</v>
      </c>
      <c r="G60" s="24">
        <f>(204442)*0.001</f>
        <v>204.44200000000001</v>
      </c>
      <c r="H60" s="24">
        <f>(210688)*0.001</f>
        <v>210.68800000000002</v>
      </c>
      <c r="I60" s="26">
        <f>(209485)*0.001</f>
        <v>209.48500000000001</v>
      </c>
      <c r="J60" s="27">
        <f>(228170)*0.001</f>
        <v>228.17000000000002</v>
      </c>
      <c r="K60" s="28">
        <v>678</v>
      </c>
      <c r="L60" s="28">
        <v>672.7</v>
      </c>
      <c r="M60" s="29">
        <v>683.9</v>
      </c>
      <c r="N60" s="28">
        <v>670.3</v>
      </c>
      <c r="O60" s="28">
        <v>672</v>
      </c>
      <c r="P60" s="28">
        <v>680.9</v>
      </c>
      <c r="Q60" s="89">
        <v>676.1</v>
      </c>
    </row>
    <row r="61" spans="1:17" s="14" customFormat="1" ht="20.100000000000001" customHeight="1" thickBot="1">
      <c r="A61" s="22" t="s">
        <v>67</v>
      </c>
      <c r="B61" s="83">
        <v>0</v>
      </c>
      <c r="C61" s="83">
        <v>0</v>
      </c>
      <c r="D61" s="83">
        <v>0</v>
      </c>
      <c r="E61" s="84">
        <v>0</v>
      </c>
      <c r="F61" s="83">
        <v>0</v>
      </c>
      <c r="G61" s="83">
        <v>0</v>
      </c>
      <c r="H61" s="83">
        <v>0</v>
      </c>
      <c r="I61" s="85">
        <v>0</v>
      </c>
      <c r="J61" s="86">
        <v>0</v>
      </c>
      <c r="K61" s="59">
        <v>0</v>
      </c>
      <c r="L61" s="59">
        <v>0</v>
      </c>
      <c r="M61" s="87">
        <v>0</v>
      </c>
      <c r="N61" s="59">
        <v>0</v>
      </c>
      <c r="O61" s="59">
        <v>0</v>
      </c>
      <c r="P61" s="59">
        <v>0</v>
      </c>
      <c r="Q61" s="89">
        <v>0</v>
      </c>
    </row>
    <row r="62" spans="1:17" s="55" customFormat="1" ht="24.95" customHeight="1" thickBot="1">
      <c r="A62" s="49" t="s">
        <v>68</v>
      </c>
      <c r="B62" s="50">
        <f t="shared" ref="B62" si="16">SUM(B52:B61)</f>
        <v>1017.386</v>
      </c>
      <c r="C62" s="50">
        <f t="shared" ref="C62:H62" si="17">SUM(C52:C61)</f>
        <v>1033.443</v>
      </c>
      <c r="D62" s="50">
        <f t="shared" si="17"/>
        <v>1009.7019999999999</v>
      </c>
      <c r="E62" s="51">
        <f t="shared" si="17"/>
        <v>1066.78</v>
      </c>
      <c r="F62" s="50">
        <f t="shared" si="17"/>
        <v>1007.745</v>
      </c>
      <c r="G62" s="50">
        <f t="shared" si="17"/>
        <v>1018.1</v>
      </c>
      <c r="H62" s="50">
        <f t="shared" si="17"/>
        <v>945.28899999999999</v>
      </c>
      <c r="I62" s="50">
        <f>SUM(I52:I61)-I57</f>
        <v>974.83100000000002</v>
      </c>
      <c r="J62" s="52">
        <f t="shared" ref="J62" si="18">SUM(J52:J61)</f>
        <v>1003.5449999999998</v>
      </c>
      <c r="K62" s="53">
        <f t="shared" ref="K62:L62" si="19">SUM(K52:K61)</f>
        <v>3990.3999999999992</v>
      </c>
      <c r="L62" s="53">
        <f t="shared" si="19"/>
        <v>4126.7</v>
      </c>
      <c r="M62" s="54">
        <f>SUM(M52:M61)-M57</f>
        <v>4167.2289934271712</v>
      </c>
      <c r="N62" s="53">
        <f>SUM(N52:N61)-N57</f>
        <v>4149.8</v>
      </c>
      <c r="O62" s="53">
        <f>SUM(O52:O61)-O57</f>
        <v>4244.8</v>
      </c>
      <c r="P62" s="53">
        <f>SUM(P52:P61)-P57</f>
        <v>7899.8</v>
      </c>
      <c r="Q62" s="54">
        <f>SUM(Q52:Q61)-Q57</f>
        <v>8466.5000000000018</v>
      </c>
    </row>
    <row r="63" spans="1:17" s="55" customFormat="1" ht="24.95" customHeight="1" thickBot="1">
      <c r="A63" s="49" t="s">
        <v>69</v>
      </c>
      <c r="B63" s="50">
        <f t="shared" ref="B63:D63" si="20">B51+B62</f>
        <v>3411.9869999999996</v>
      </c>
      <c r="C63" s="50">
        <f t="shared" si="20"/>
        <v>3405.5320000000002</v>
      </c>
      <c r="D63" s="50">
        <f t="shared" si="20"/>
        <v>3159.9589999999994</v>
      </c>
      <c r="E63" s="51">
        <f t="shared" ref="E63:Q63" si="21">E62+E51</f>
        <v>3092.942</v>
      </c>
      <c r="F63" s="50">
        <f t="shared" si="21"/>
        <v>3067.306</v>
      </c>
      <c r="G63" s="50">
        <f t="shared" si="21"/>
        <v>2945.4119999999998</v>
      </c>
      <c r="H63" s="50">
        <f t="shared" si="21"/>
        <v>2772.4030000000002</v>
      </c>
      <c r="I63" s="50">
        <f t="shared" si="21"/>
        <v>2675.0169999999998</v>
      </c>
      <c r="J63" s="52">
        <f t="shared" si="21"/>
        <v>2742.8450000000003</v>
      </c>
      <c r="K63" s="53">
        <f t="shared" si="21"/>
        <v>18735.399999999998</v>
      </c>
      <c r="L63" s="53">
        <f t="shared" si="21"/>
        <v>18350.5</v>
      </c>
      <c r="M63" s="54">
        <f t="shared" si="21"/>
        <v>18260.528993427175</v>
      </c>
      <c r="N63" s="53">
        <f t="shared" si="21"/>
        <v>17777</v>
      </c>
      <c r="O63" s="53">
        <f t="shared" si="21"/>
        <v>17584</v>
      </c>
      <c r="P63" s="53">
        <f t="shared" si="21"/>
        <v>16083.5</v>
      </c>
      <c r="Q63" s="54">
        <f t="shared" si="21"/>
        <v>16240.000000000002</v>
      </c>
    </row>
    <row r="64" spans="1:17" s="55" customFormat="1" ht="24.95" customHeight="1" thickBot="1">
      <c r="A64" s="62" t="s">
        <v>39</v>
      </c>
      <c r="B64" s="63">
        <f t="shared" ref="B64:Q64" si="22">B63+B42</f>
        <v>5502.753999999999</v>
      </c>
      <c r="C64" s="63">
        <f t="shared" si="22"/>
        <v>5597.8010000000004</v>
      </c>
      <c r="D64" s="63">
        <f t="shared" si="22"/>
        <v>5514.8739999999998</v>
      </c>
      <c r="E64" s="64">
        <f t="shared" si="22"/>
        <v>5561.3450000000003</v>
      </c>
      <c r="F64" s="63">
        <f t="shared" si="22"/>
        <v>5629.4740000000002</v>
      </c>
      <c r="G64" s="63">
        <f t="shared" si="22"/>
        <v>5592.7070000000003</v>
      </c>
      <c r="H64" s="63">
        <f t="shared" si="22"/>
        <v>5597.9809999999998</v>
      </c>
      <c r="I64" s="65">
        <f t="shared" si="22"/>
        <v>5676.23</v>
      </c>
      <c r="J64" s="66">
        <f t="shared" si="22"/>
        <v>5851.1939999999995</v>
      </c>
      <c r="K64" s="67">
        <f t="shared" si="22"/>
        <v>27827.1</v>
      </c>
      <c r="L64" s="67">
        <f t="shared" si="22"/>
        <v>27481.200000000001</v>
      </c>
      <c r="M64" s="68">
        <f t="shared" si="22"/>
        <v>27338.728993427176</v>
      </c>
      <c r="N64" s="67">
        <f t="shared" si="22"/>
        <v>27088.9</v>
      </c>
      <c r="O64" s="67">
        <f t="shared" si="22"/>
        <v>27141.800000000003</v>
      </c>
      <c r="P64" s="67">
        <f t="shared" si="22"/>
        <v>26143.5</v>
      </c>
      <c r="Q64" s="69">
        <f t="shared" si="22"/>
        <v>26490.100000000002</v>
      </c>
    </row>
    <row r="65" spans="1:17" s="14" customFormat="1">
      <c r="A65" s="98"/>
      <c r="K65" s="99"/>
      <c r="L65" s="99"/>
      <c r="P65" s="99"/>
    </row>
    <row r="66" spans="1:17" s="14" customFormat="1">
      <c r="A66" s="98"/>
      <c r="K66" s="99"/>
      <c r="L66" s="99"/>
      <c r="P66" s="99"/>
    </row>
    <row r="67" spans="1:17" s="14" customFormat="1" ht="39.75" customHeight="1">
      <c r="A67" s="100" t="s">
        <v>70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s="14" customFormat="1" ht="20.100000000000001" customHeight="1">
      <c r="A68" s="100" t="s">
        <v>71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s="14" customFormat="1" ht="20.100000000000001" customHeight="1">
      <c r="A69" s="100" t="s">
        <v>72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s="101" customFormat="1" ht="20.100000000000001" customHeight="1">
      <c r="A70" s="100" t="s">
        <v>73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s="14" customFormat="1" ht="20.100000000000001" customHeight="1">
      <c r="A71" s="100" t="s">
        <v>74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s="14" customFormat="1" ht="20.100000000000001" customHeight="1">
      <c r="A72" s="100" t="s">
        <v>75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s="14" customFormat="1">
      <c r="A73" s="102"/>
      <c r="K73" s="99"/>
      <c r="L73" s="99"/>
      <c r="P73" s="99"/>
    </row>
    <row r="74" spans="1:17" s="14" customFormat="1">
      <c r="A74" s="103"/>
      <c r="K74" s="99"/>
      <c r="L74" s="99"/>
      <c r="P74" s="99"/>
    </row>
    <row r="75" spans="1:17" s="14" customFormat="1">
      <c r="A75" s="102"/>
      <c r="K75" s="99"/>
      <c r="L75" s="99"/>
      <c r="P75" s="99"/>
    </row>
    <row r="76" spans="1:17" s="14" customFormat="1">
      <c r="A76" s="102"/>
      <c r="K76" s="99"/>
      <c r="L76" s="99"/>
      <c r="P76" s="99"/>
    </row>
  </sheetData>
  <mergeCells count="10">
    <mergeCell ref="A69:Q69"/>
    <mergeCell ref="A70:Q70"/>
    <mergeCell ref="A71:Q71"/>
    <mergeCell ref="A72:Q72"/>
    <mergeCell ref="B2:E2"/>
    <mergeCell ref="F2:I2"/>
    <mergeCell ref="J2:M2"/>
    <mergeCell ref="N2:Q2"/>
    <mergeCell ref="A67:Q67"/>
    <mergeCell ref="A68:Q6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Consolidated balance sheet</vt:lpstr>
      <vt:lpstr>'Consolidated balance sheet'!Obszar_wydruku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2016-08-31T08:49:52Z</dcterms:created>
  <dcterms:modified xsi:type="dcterms:W3CDTF">2016-08-31T08:50:05Z</dcterms:modified>
</cp:coreProperties>
</file>